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D:\PROYECTOS\PROYECTOS 2025\MEJORA + LIQUIDEZ\nuevo simulador\"/>
    </mc:Choice>
  </mc:AlternateContent>
  <xr:revisionPtr revIDLastSave="0" documentId="8_{1D1A38FC-F8F2-4BB7-8D4B-5BEE6FC3539D}" xr6:coauthVersionLast="47" xr6:coauthVersionMax="47" xr10:uidLastSave="{00000000-0000-0000-0000-000000000000}"/>
  <workbookProtection workbookAlgorithmName="SHA-512" workbookHashValue="0WbLcPLqEjUY3YfJhVJeLGfGdWNy6cDjwXdfiuxWydYyoqxJg/f8KNFIKK0f8ipurOuNJF8m4LCWOp79viFe2Q==" workbookSaltValue="S0VNP/uESk/DURqbaRUgIw==" workbookSpinCount="100000" lockStructure="1"/>
  <bookViews>
    <workbookView xWindow="-120" yWindow="-120" windowWidth="20730" windowHeight="11040" xr2:uid="{8EEEA571-F04E-4838-B461-BC91F4672CF3}"/>
  </bookViews>
  <sheets>
    <sheet name="Carátula" sheetId="1" r:id="rId1"/>
    <sheet name="Tabla Notaría" sheetId="10" r:id="rId2"/>
    <sheet name="Oferta Vinculante" sheetId="11" r:id="rId3"/>
    <sheet name="Fecha Pago" sheetId="4" state="hidden" r:id="rId4"/>
    <sheet name="Notariales Estados" sheetId="5" state="hidden" r:id="rId5"/>
    <sheet name="Catálogos" sheetId="2" state="hidden" r:id="rId6"/>
    <sheet name="Avalúos" sheetId="6" state="hidden" r:id="rId7"/>
    <sheet name="Prepagos" sheetId="7" state="hidden" r:id="rId8"/>
    <sheet name="CAT" sheetId="8"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Inciso_Apoyo" localSheetId="2">'Oferta Vinculante'!$M$44</definedName>
    <definedName name="_Inciso_Cofinavit" localSheetId="2">'Oferta Vinculante'!$M$38</definedName>
    <definedName name="_Inciso_Gravamen_Separado" localSheetId="2">'Oferta Vinculante'!$M$29</definedName>
    <definedName name="_Inciso_Vigilancia" localSheetId="2">'Oferta Vinculante'!$M$25</definedName>
    <definedName name="A" localSheetId="2">[1]Productos!$B$7</definedName>
    <definedName name="A" localSheetId="1">[1]Productos!$B$7</definedName>
    <definedName name="A">#REF!</definedName>
    <definedName name="Aforo" localSheetId="2">'Oferta Vinculante'!$M$13</definedName>
    <definedName name="Aforo_3_Fovissste" localSheetId="2">#REF!</definedName>
    <definedName name="Aforo_3_Fovissste" localSheetId="1">#REF!</definedName>
    <definedName name="Aforo_3_Fovissste">#REF!</definedName>
    <definedName name="Aforo_Accesible" localSheetId="2">'[1]Pass-Throughs'!$B$21</definedName>
    <definedName name="Aforo_Accesible" localSheetId="1">'[1]Pass-Throughs'!$B$21</definedName>
    <definedName name="Aforo_Accesible">#REF!</definedName>
    <definedName name="Aforo_Máximo" localSheetId="2">#REF!</definedName>
    <definedName name="Aforo_Máximo" localSheetId="1">#REF!</definedName>
    <definedName name="Aforo_Máximo">#REF!</definedName>
    <definedName name="Aforo_Máximo_2" localSheetId="2">#REF!</definedName>
    <definedName name="Aforo_Máximo_2" localSheetId="1">#REF!</definedName>
    <definedName name="Aforo_Máximo_2">#REF!</definedName>
    <definedName name="Aforo_Máximo_A_Usar_Apoyo" localSheetId="2">'[1]PASO6 APOYO'!$M$5</definedName>
    <definedName name="Aforo_Máximo_A_Usar_Apoyo" localSheetId="1">'[1]PASO6 APOYO'!$M$5</definedName>
    <definedName name="Aforo_Máximo_A_Usar_Apoyo">#REF!</definedName>
    <definedName name="Aforo_Máximo_A_Usar_Tradicional" localSheetId="2">'[1]PASO7 TRAD'!$O$6</definedName>
    <definedName name="Aforo_Máximo_A_Usar_Tradicional" localSheetId="1">'[1]PASO7 TRAD'!$O$6</definedName>
    <definedName name="Aforo_Máximo_A_Usar_Tradicional">#REF!</definedName>
    <definedName name="Aforo_Máximo_del_Layout" localSheetId="2">#REF!</definedName>
    <definedName name="Aforo_Máximo_del_Layout" localSheetId="1">#REF!</definedName>
    <definedName name="Aforo_Máximo_del_Layout">#REF!</definedName>
    <definedName name="Aforo3_Cofin" localSheetId="2">'[1]Rango de Vivienda'!$B$5</definedName>
    <definedName name="Aforo3_Cofin" localSheetId="1">'[1]Rango de Vivienda'!$B$5</definedName>
    <definedName name="Aforo3_Cofin">#REF!</definedName>
    <definedName name="Alia2_" localSheetId="2">'[1]Esquema Especial'!$B$5</definedName>
    <definedName name="Alia2_" localSheetId="1">'[1]Esquema Especial'!$B$5</definedName>
    <definedName name="Alia2_">#REF!</definedName>
    <definedName name="Amplio" localSheetId="2">[1]Tipo_Seguro!$D$7</definedName>
    <definedName name="Amplio" localSheetId="1">[1]Tipo_Seguro!$D$7</definedName>
    <definedName name="Amplio">#REF!</definedName>
    <definedName name="Anterior" localSheetId="3">'Fecha Pago'!1048576:1048576</definedName>
    <definedName name="Anualidades_Remanente_SSV" localSheetId="2">[1]Validaciones!$E$12</definedName>
    <definedName name="Anualidades_Remanente_SSV" localSheetId="1">[1]Validaciones!$E$12</definedName>
    <definedName name="Anualidades_Remanente_SSV">#REF!</definedName>
    <definedName name="Año_Cotización" localSheetId="2">'[1]Fecha Pago'!$D$10</definedName>
    <definedName name="Año_Cotización" localSheetId="1">'[1]Fecha Pago'!$D$10</definedName>
    <definedName name="Año_Cotización">#REF!</definedName>
    <definedName name="Año_Fecha_Cotización" localSheetId="2">'[1]Fecha Pago'!$B$5</definedName>
    <definedName name="Año_Fecha_Cotización" localSheetId="1">'[1]Fecha Pago'!$B$5</definedName>
    <definedName name="Año_Fecha_Cotización">#REF!</definedName>
    <definedName name="AObD" localSheetId="2">#REF!</definedName>
    <definedName name="AObD" localSheetId="1">#REF!</definedName>
    <definedName name="AObD">#REF!</definedName>
    <definedName name="AObT" localSheetId="2">'[1]Crédito Banorte'!$O$78</definedName>
    <definedName name="AObT" localSheetId="1">'[1]Crédito Banorte'!$O$78</definedName>
    <definedName name="AObT">#REF!</definedName>
    <definedName name="AOp" localSheetId="2">'[1]Crédito Banorte'!$O$81</definedName>
    <definedName name="AOp" localSheetId="1">'[1]Crédito Banorte'!$O$81</definedName>
    <definedName name="AOp">#REF!</definedName>
    <definedName name="Aplica_IVA?" localSheetId="2">[1]IVA!$B$30</definedName>
    <definedName name="Aplica_IVA?" localSheetId="1">[1]IVA!$B$30</definedName>
    <definedName name="Aplica_IVA?">#REF!</definedName>
    <definedName name="Aplica_Seguro_de_Daños?" localSheetId="2">[1]Destinos!$L$28</definedName>
    <definedName name="Aplica_Seguro_de_Daños?" localSheetId="1">[1]Destinos!$L$28</definedName>
    <definedName name="Aplica_Seguro_de_Daños?">#REF!</definedName>
    <definedName name="Aport_obligatoria_antes_de_adicional" localSheetId="2">'[1]Crédito Banorte'!$C$59</definedName>
    <definedName name="Aport_obligatoria_antes_de_adicional" localSheetId="1">'[1]Crédito Banorte'!$C$59</definedName>
    <definedName name="Aport_obligatoria_antes_de_adicional">#REF!</definedName>
    <definedName name="Aportación_Adicional" localSheetId="2">'[1]Crédito Banorte'!$C$56</definedName>
    <definedName name="Aportación_Adicional" localSheetId="1">'[1]Crédito Banorte'!$C$56</definedName>
    <definedName name="Aportación_Adicional">#REF!</definedName>
    <definedName name="Aportación_Cliente_obligatoria" localSheetId="2">'[1]Crédito Banorte'!$O$83</definedName>
    <definedName name="Aportación_Cliente_obligatoria" localSheetId="1">'[1]Crédito Banorte'!$O$83</definedName>
    <definedName name="Aportación_Cliente_obligatoria">#REF!</definedName>
    <definedName name="Aportación_Cliente_obligatoria_Antes_De_Método_Alterno" localSheetId="2">#REF!</definedName>
    <definedName name="Aportación_Cliente_obligatoria_Antes_De_Método_Alterno" localSheetId="1">#REF!</definedName>
    <definedName name="Aportación_Cliente_obligatoria_Antes_De_Método_Alterno">#REF!</definedName>
    <definedName name="Aportación_Patronal" localSheetId="2">#REF!</definedName>
    <definedName name="Aportación_Patronal" localSheetId="1">#REF!</definedName>
    <definedName name="Aportación_Patronal">#REF!</definedName>
    <definedName name="Apoyo_Infonavit" localSheetId="2">'[1]Esquema Especial'!$B$2</definedName>
    <definedName name="Apoyo_Infonavit" localSheetId="1">'[1]Esquema Especial'!$B$2</definedName>
    <definedName name="Apoyo_Infonavit">#REF!</definedName>
    <definedName name="_xlnm.Print_Area" localSheetId="0">Carátula!$B$1:$P$287</definedName>
    <definedName name="_xlnm.Print_Area" localSheetId="2">'Oferta Vinculante'!$A$2:$E$175</definedName>
    <definedName name="_xlnm.Print_Area" localSheetId="1">'Tabla Notaría'!$A$1:$F$252</definedName>
    <definedName name="Avalúo_Cotización_Contado" localSheetId="2">'[1]Ajustes Subrogación'!$C$9</definedName>
    <definedName name="Avalúo_Cotización_Contado" localSheetId="1">'[1]Ajustes Subrogación'!$C$9</definedName>
    <definedName name="Avalúo_Cotización_Contado">#REF!</definedName>
    <definedName name="Avalúo_Cotización_Financiado" localSheetId="2">'[1]Ajustes Subrogación'!$B$9</definedName>
    <definedName name="Avalúo_Cotización_Financiado" localSheetId="1">'[1]Ajustes Subrogación'!$B$9</definedName>
    <definedName name="Avalúo_Cotización_Financiado">#REF!</definedName>
    <definedName name="Avalúo_goalseek_ingreso" localSheetId="2">'[1]PASO7 TRAD'!$D$38</definedName>
    <definedName name="Avalúo_goalseek_ingreso" localSheetId="1">'[1]PASO7 TRAD'!$D$38</definedName>
    <definedName name="Avalúo_goalseek_ingreso">#REF!</definedName>
    <definedName name="Avalúo_goalseek_pago" localSheetId="2">'[1]PASO7 TRAD'!$C$38</definedName>
    <definedName name="Avalúo_goalseek_pago" localSheetId="1">'[1]PASO7 TRAD'!$C$38</definedName>
    <definedName name="Avalúo_goalseek_pago">#REF!</definedName>
    <definedName name="Avalúo_Máximo" localSheetId="2">'[1]PASO7 TRAD'!$O$9</definedName>
    <definedName name="Avalúo_Máximo" localSheetId="1">'[1]PASO7 TRAD'!$O$9</definedName>
    <definedName name="Avalúo_Máximo">#REF!</definedName>
    <definedName name="Avalúo_Mínimo" localSheetId="2">'[1]PASO7 TRAD'!$N$9</definedName>
    <definedName name="Avalúo_Mínimo" localSheetId="1">'[1]PASO7 TRAD'!$N$9</definedName>
    <definedName name="Avalúo_Mínimo">#REF!</definedName>
    <definedName name="Avalúo_Tradicional_Definitivo" localSheetId="2">'[1]PASO7 TRAD'!$O$36</definedName>
    <definedName name="Avalúo_Tradicional_Definitivo" localSheetId="1">'[1]PASO7 TRAD'!$O$36</definedName>
    <definedName name="Avalúo_Tradicional_Definitivo">#REF!</definedName>
    <definedName name="B" localSheetId="2">[1]Productos!$B$10</definedName>
    <definedName name="B" localSheetId="1">[1]Productos!$B$10</definedName>
    <definedName name="B">#REF!</definedName>
    <definedName name="C_" localSheetId="2">[1]Productos!$B$11</definedName>
    <definedName name="C_" localSheetId="1">[1]Productos!$B$11</definedName>
    <definedName name="C_">#REF!</definedName>
    <definedName name="Cálculo_Interés_CAT" localSheetId="2">'Oferta Vinculante'!$M$15</definedName>
    <definedName name="Capacidad_Crédito_Cónyuge_Fovissste" localSheetId="2">'[1]PASO6 FOVISSSTE'!$G$23</definedName>
    <definedName name="Capacidad_Crédito_Cónyuge_Fovissste" localSheetId="1">'[1]PASO6 FOVISSSTE'!$G$23</definedName>
    <definedName name="Capacidad_Crédito_Cónyuge_Fovissste">#REF!</definedName>
    <definedName name="Capacidad_Crédito_Titular_Fovissste" localSheetId="2">'[1]PASO6 FOVISSSTE'!$E$23</definedName>
    <definedName name="Capacidad_Crédito_Titular_Fovissste" localSheetId="1">'[1]PASO6 FOVISSSTE'!$E$23</definedName>
    <definedName name="Capacidad_Crédito_Titular_Fovissste">#REF!</definedName>
    <definedName name="Capacidad_de_Pago" localSheetId="2">'[1]Crédito Banorte'!$D$4</definedName>
    <definedName name="Capacidad_de_Pago" localSheetId="1">'[1]Crédito Banorte'!$D$4</definedName>
    <definedName name="Capacidad_de_Pago">#REF!</definedName>
    <definedName name="Captura.Aforo" localSheetId="2">[2]Carátula!$H$10</definedName>
    <definedName name="Captura.Aforo" localSheetId="1">[2]Carátula!$H$10</definedName>
    <definedName name="Captura.Aforo">#REF!</definedName>
    <definedName name="Captura.Aplica_Com_Apertura?" localSheetId="2">[2]Carátula!$H$16</definedName>
    <definedName name="Captura.Aplica_Com_Apertura?" localSheetId="1">[2]Carátula!$H$16</definedName>
    <definedName name="Captura.Aplica_Com_Apertura?">#REF!</definedName>
    <definedName name="Captura.AportaciónAdicional" localSheetId="2">[2]Carátula!$H$25</definedName>
    <definedName name="Captura.AportaciónAdicional" localSheetId="1">[2]Carátula!$H$25</definedName>
    <definedName name="Captura.AportaciónAdicional">#REF!</definedName>
    <definedName name="Captura.Cofinavit.Programa" localSheetId="2">[2]Carátula!$K$5</definedName>
    <definedName name="Captura.Cofinavit.Programa" localSheetId="1">[2]Carátula!$K$5</definedName>
    <definedName name="Captura.Cofinavit.Programa">#REF!</definedName>
    <definedName name="Captura.Com_Apertura_Financiada?" localSheetId="2">[2]Carátula!$H$17</definedName>
    <definedName name="Captura.Com_Apertura_Financiada?" localSheetId="1">[2]Carátula!$H$17</definedName>
    <definedName name="Captura.Com_Apertura_Financiada?">#REF!</definedName>
    <definedName name="Captura.Crédito_Cónyuge" localSheetId="2">[2]Carátula!$L$10</definedName>
    <definedName name="Captura.Crédito_Cónyuge" localSheetId="1">[2]Carátula!$L$10</definedName>
    <definedName name="Captura.Crédito_Cónyuge">#REF!</definedName>
    <definedName name="Captura.Crédito_Titular" localSheetId="2">[2]Carátula!$K$10</definedName>
    <definedName name="Captura.Crédito_Titular" localSheetId="1">[2]Carátula!$K$10</definedName>
    <definedName name="Captura.Crédito_Titular">#REF!</definedName>
    <definedName name="Captura.CréditoSolicitado" localSheetId="2">[2]Carátula!$H$11</definedName>
    <definedName name="Captura.CréditoSolicitado" localSheetId="1">[2]Carátula!$H$11</definedName>
    <definedName name="Captura.CréditoSolicitado">#REF!</definedName>
    <definedName name="Captura.Descuento_Crédito_Cónyuge" localSheetId="2">[2]Carátula!$L$11</definedName>
    <definedName name="Captura.Descuento_Crédito_Cónyuge" localSheetId="1">[2]Carátula!$L$11</definedName>
    <definedName name="Captura.Descuento_Crédito_Cónyuge">#REF!</definedName>
    <definedName name="Captura.Descuento_Crédito_Titular" localSheetId="2">[2]Carátula!$K$11</definedName>
    <definedName name="Captura.Descuento_Crédito_Titular" localSheetId="1">[2]Carátula!$K$11</definedName>
    <definedName name="Captura.Descuento_Crédito_Titular">#REF!</definedName>
    <definedName name="Captura.Descuento_EcoTec_Titular" localSheetId="2">[2]Carátula!$K$12</definedName>
    <definedName name="Captura.Descuento_EcoTec_Titular" localSheetId="1">[2]Carátula!$K$12</definedName>
    <definedName name="Captura.Descuento_EcoTec_Titular">#REF!</definedName>
    <definedName name="Captura.Ingreso_Cónyuge" localSheetId="2">[2]Carátula!$L$8</definedName>
    <definedName name="Captura.Ingreso_Cónyuge" localSheetId="1">[2]Carátula!$L$8</definedName>
    <definedName name="Captura.Ingreso_Cónyuge">#REF!</definedName>
    <definedName name="Captura.Ingreso_Mensual_Bruto_Titular" localSheetId="2">[2]Carátula!$H$12</definedName>
    <definedName name="Captura.Ingreso_Mensual_Bruto_Titular" localSheetId="1">[2]Carátula!$H$12</definedName>
    <definedName name="Captura.Ingreso_Mensual_Bruto_Titular">#REF!</definedName>
    <definedName name="Captura.Programa" localSheetId="2">[2]Carátula!$H$5</definedName>
    <definedName name="Captura.Programa" localSheetId="1">[2]Carátula!$H$5</definedName>
    <definedName name="Captura.Programa">#REF!</definedName>
    <definedName name="Captura.Subcuenta_Cónyuge" localSheetId="2">[2]Carátula!$L$9</definedName>
    <definedName name="Captura.Subcuenta_Cónyuge" localSheetId="1">[2]Carátula!$L$9</definedName>
    <definedName name="Captura.Subcuenta_Cónyuge">#REF!</definedName>
    <definedName name="Captura.Subcuenta_Titular" localSheetId="2">[2]Carátula!$K$9</definedName>
    <definedName name="Captura.Subcuenta_Titular" localSheetId="1">[2]Carátula!$K$9</definedName>
    <definedName name="Captura.Subcuenta_Titular">#REF!</definedName>
    <definedName name="Captura.Tasa" localSheetId="2">[2]Carátula!$H$3</definedName>
    <definedName name="Captura.Tasa" localSheetId="1">[2]Carátula!$H$3</definedName>
    <definedName name="Captura.Tasa">#REF!</definedName>
    <definedName name="Captura.ValorVivienda" localSheetId="2">[2]Carátula!$H$8</definedName>
    <definedName name="Captura.ValorVivienda" localSheetId="1">[2]Carátula!$H$8</definedName>
    <definedName name="Captura.ValorVivienda">#REF!</definedName>
    <definedName name="Captura_Aportación_Adicional" localSheetId="2">[1]Cotización!$G$102</definedName>
    <definedName name="Captura_Aportación_Adicional" localSheetId="1">[1]Cotización!$G$102</definedName>
    <definedName name="Captura_Aportación_Adicional">#REF!</definedName>
    <definedName name="Captura_Descuento_ecotecnologías" localSheetId="2">'[1]PASO6 COFINAVIT'!$E$27</definedName>
    <definedName name="Captura_Descuento_ecotecnologías" localSheetId="1">'[1]PASO6 COFINAVIT'!$E$27</definedName>
    <definedName name="Captura_Descuento_ecotecnologías">#REF!</definedName>
    <definedName name="Captura_Incompleta" localSheetId="2">[1]Validaciones!$C$30</definedName>
    <definedName name="Captura_Incompleta" localSheetId="1">[1]Validaciones!$C$30</definedName>
    <definedName name="Captura_Incompleta">#REF!</definedName>
    <definedName name="Casa" localSheetId="2">[1]Destinos!$A$7</definedName>
    <definedName name="Casa" localSheetId="1">[1]Destinos!$A$7</definedName>
    <definedName name="Casa">#REF!</definedName>
    <definedName name="CAT" localSheetId="2">'[1]Tabla Cliente'!$Y$25</definedName>
    <definedName name="CAT" localSheetId="1">'[1]Tabla Cliente'!$Y$25</definedName>
    <definedName name="CAT">#REF!</definedName>
    <definedName name="CAT_Apoyo_Infonavit" localSheetId="2">'[1]CAT Apoyo Infonavit'!$Q$6</definedName>
    <definedName name="CAT_Apoyo_Infonavit" localSheetId="1">'[1]CAT Apoyo Infonavit'!$Q$6</definedName>
    <definedName name="CAT_Apoyo_Infonavit">#REF!</definedName>
    <definedName name="CAT_Construcción_Pagos_Crecientes" localSheetId="2">'[1]CAT Construcción'!$T$6</definedName>
    <definedName name="CAT_Construcción_Pagos_Crecientes" localSheetId="1">'[1]CAT Construcción'!$T$6</definedName>
    <definedName name="CAT_Construcción_Pagos_Crecientes">#REF!</definedName>
    <definedName name="CAT_Construcción_Tradicional" localSheetId="2">'[1]CAT Construcción'!$Q$6</definedName>
    <definedName name="CAT_Construcción_Tradicional" localSheetId="1">'[1]CAT Construcción'!$Q$6</definedName>
    <definedName name="CAT_Construcción_Tradicional">#REF!</definedName>
    <definedName name="CAT_Pagos_Crecientes" localSheetId="2">'[1]CAT Pagos Crecientes'!$Q$6</definedName>
    <definedName name="CAT_Pagos_Crecientes" localSheetId="1">'[1]CAT Pagos Crecientes'!$Q$6</definedName>
    <definedName name="CAT_Pagos_Crecientes">#REF!</definedName>
    <definedName name="CAT_Tradicional" localSheetId="2">'[1]CAT Tabla Tradicional'!$Q$6</definedName>
    <definedName name="CAT_Tradicional" localSheetId="1">'[1]CAT Tabla Tradicional'!$Q$6</definedName>
    <definedName name="CAT_Tradicional">#REF!</definedName>
    <definedName name="Catálogo_Aclaraciones" localSheetId="2">[1]Aclaraciones!$A$24:$H$48</definedName>
    <definedName name="Catálogo_Aclaraciones" localSheetId="1">[1]Aclaraciones!$A$24:$H$48</definedName>
    <definedName name="Catálogo_Aclaraciones">#REF!</definedName>
    <definedName name="Catálogo_Destinos" localSheetId="2">[1]Destinos!$A$5:$Q$16</definedName>
    <definedName name="Catálogo_Destinos" localSheetId="1">[1]Destinos!$A$5:$Q$16</definedName>
    <definedName name="Catálogo_Destinos">#REF!</definedName>
    <definedName name="Catálogo_General_Aclaraciones" localSheetId="2">[1]Aclaraciones!$A$10:$E$19</definedName>
    <definedName name="Catálogo_General_Aclaraciones" localSheetId="1">[1]Aclaraciones!$A$10:$E$19</definedName>
    <definedName name="Catálogo_General_Aclaraciones">#REF!</definedName>
    <definedName name="Catálogo_Productos" localSheetId="2">[1]Productos!$B$5:$H$8</definedName>
    <definedName name="Catálogo_Productos" localSheetId="1">[1]Productos!$B$5:$H$8</definedName>
    <definedName name="Catálogo_Productos">#REF!</definedName>
    <definedName name="CD" localSheetId="2">'[1]Crédito Banorte'!$O$86</definedName>
    <definedName name="CD" localSheetId="1">'[1]Crédito Banorte'!$O$86</definedName>
    <definedName name="CD">#REF!</definedName>
    <definedName name="Código" localSheetId="2">#REF!</definedName>
    <definedName name="Código" localSheetId="1">#REF!</definedName>
    <definedName name="Código">#REF!</definedName>
    <definedName name="Código_Cotiza_en" localSheetId="2">[1]DondeCotiza!$D$3</definedName>
    <definedName name="Código_Cotiza_en" localSheetId="1">[1]DondeCotiza!$D$3</definedName>
    <definedName name="Código_Cotiza_en">#REF!</definedName>
    <definedName name="Código_Destino" localSheetId="2">[1]Destinos!$C$4</definedName>
    <definedName name="Código_Destino" localSheetId="1">[1]Destinos!$C$4</definedName>
    <definedName name="Código_Destino">#REF!</definedName>
    <definedName name="Código_Esquema_Especial" localSheetId="2">'[1]Esquema Especial'!$D$7</definedName>
    <definedName name="Código_Esquema_Especial" localSheetId="1">'[1]Esquema Especial'!$D$7</definedName>
    <definedName name="Código_Esquema_Especial">#REF!</definedName>
    <definedName name="CODIGO_PRODUCTO" localSheetId="2">#REF!</definedName>
    <definedName name="CODIGO_PRODUCTO" localSheetId="1">#REF!</definedName>
    <definedName name="CODIGO_PRODUCTO">#REF!</definedName>
    <definedName name="Código_Producto" localSheetId="2">[1]Productos!$D$4</definedName>
    <definedName name="Código_Producto" localSheetId="1">[1]Productos!$D$4</definedName>
    <definedName name="Código_Producto">#REF!</definedName>
    <definedName name="Código_Rango_de_Vivienda" localSheetId="2">'[1]Pass-Throughs'!$B$28</definedName>
    <definedName name="Código_Rango_de_Vivienda" localSheetId="1">'[1]Pass-Throughs'!$B$28</definedName>
    <definedName name="Código_Rango_de_Vivienda">#REF!</definedName>
    <definedName name="COFFEE_Cofinavit" localSheetId="2">[2]COFFEE!$A:$D</definedName>
    <definedName name="COFFEE_Cofinavit" localSheetId="1">[2]COFFEE!$A:$D</definedName>
    <definedName name="COFFEE_Cofinavit">#REF!</definedName>
    <definedName name="COFFEE_Generales" localSheetId="2">[2]COFFEE!$A:$D</definedName>
    <definedName name="COFFEE_Generales" localSheetId="1">[2]COFFEE!$A:$D</definedName>
    <definedName name="COFFEE_Generales">#REF!</definedName>
    <definedName name="COFI.UMBRAL_INCREMENTO_110" localSheetId="2">'[1]Rango de Vivienda'!$B$4</definedName>
    <definedName name="COFI.UMBRAL_INCREMENTO_110" localSheetId="1">'[1]Rango de Vivienda'!$B$4</definedName>
    <definedName name="COFI.UMBRAL_INCREMENTO_110">#REF!</definedName>
    <definedName name="Cofinavit" localSheetId="2">'[1]Esquema Especial'!$B$3</definedName>
    <definedName name="Cofinavit" localSheetId="1">'[1]Esquema Especial'!$B$3</definedName>
    <definedName name="Cofinavit">#REF!</definedName>
    <definedName name="Cofinavit_AG" localSheetId="2">'[1]Esquema Especial'!$B$4</definedName>
    <definedName name="Cofinavit_AG" localSheetId="1">'[1]Esquema Especial'!$B$4</definedName>
    <definedName name="Cofinavit_AG">#REF!</definedName>
    <definedName name="COI" localSheetId="2">'[1]Crédito Banorte'!$C$55</definedName>
    <definedName name="COI" localSheetId="1">'[1]Crédito Banorte'!$C$55</definedName>
    <definedName name="COI">#REF!</definedName>
    <definedName name="Columna_Layout" localSheetId="2">#REF!</definedName>
    <definedName name="Columna_Layout" localSheetId="1">#REF!</definedName>
    <definedName name="Columna_Layout">#REF!</definedName>
    <definedName name="Com_Ap_goalseek_ingreso" localSheetId="2">'[1]PASO7 TRAD'!$D$39</definedName>
    <definedName name="Com_Ap_goalseek_ingreso" localSheetId="1">'[1]PASO7 TRAD'!$D$39</definedName>
    <definedName name="Com_Ap_goalseek_ingreso">#REF!</definedName>
    <definedName name="Com_Ap_goalseek_pago" localSheetId="2">'[1]PASO7 TRAD'!$C$39</definedName>
    <definedName name="Com_Ap_goalseek_pago" localSheetId="1">'[1]PASO7 TRAD'!$C$39</definedName>
    <definedName name="Com_Ap_goalseek_pago">#REF!</definedName>
    <definedName name="Com_Av_goalseek_ingreso" localSheetId="2">'[1]PASO7 TRAD'!$D$40</definedName>
    <definedName name="Com_Av_goalseek_ingreso" localSheetId="1">'[1]PASO7 TRAD'!$D$40</definedName>
    <definedName name="Com_Av_goalseek_ingreso">#REF!</definedName>
    <definedName name="Com_Av_goalseek_pago" localSheetId="2">'[1]PASO7 TRAD'!$C$40</definedName>
    <definedName name="Com_Av_goalseek_pago" localSheetId="1">'[1]PASO7 TRAD'!$C$40</definedName>
    <definedName name="Com_Av_goalseek_pago">#REF!</definedName>
    <definedName name="Com_inv_goalseek_ingreso" localSheetId="2">'[1]PASO7 TRAD'!$D$42</definedName>
    <definedName name="Com_inv_goalseek_ingreso" localSheetId="1">'[1]PASO7 TRAD'!$D$42</definedName>
    <definedName name="Com_inv_goalseek_ingreso">#REF!</definedName>
    <definedName name="Com_inv_goalseek_pago" localSheetId="2">'[1]PASO7 TRAD'!$C$42</definedName>
    <definedName name="Com_inv_goalseek_pago" localSheetId="1">'[1]PASO7 TRAD'!$C$42</definedName>
    <definedName name="Com_inv_goalseek_pago">#REF!</definedName>
    <definedName name="Combinación_Ocultar_columnas" localSheetId="2">#REF!</definedName>
    <definedName name="Combinación_Ocultar_columnas" localSheetId="1">#REF!</definedName>
    <definedName name="Combinación_Ocultar_columnas">#REF!</definedName>
    <definedName name="COMBO_SI_NO" localSheetId="2">[1]Tipo_Seguro!$E$12:$E$13</definedName>
    <definedName name="COMBO_SI_NO" localSheetId="1">[1]Tipo_Seguro!$E$12:$E$13</definedName>
    <definedName name="COMBO_SI_NO">#REF!</definedName>
    <definedName name="COMBO_TIPO_SEGURO" localSheetId="2">[1]Tipo_Seguro!$E$7:$E$9</definedName>
    <definedName name="COMBO_TIPO_SEGURO" localSheetId="1">[1]Tipo_Seguro!$E$7:$E$9</definedName>
    <definedName name="COMBO_TIPO_SEGURO">#REF!</definedName>
    <definedName name="COMBO_TIPO_SEGURO_AMPLIO_BASICO" localSheetId="2">[1]Tipo_Seguro!$E$7:$E$8</definedName>
    <definedName name="COMBO_TIPO_SEGURO_AMPLIO_BASICO" localSheetId="1">[1]Tipo_Seguro!$E$7:$E$8</definedName>
    <definedName name="COMBO_TIPO_SEGURO_AMPLIO_BASICO">#REF!</definedName>
    <definedName name="Comisión_Apertura" localSheetId="2">'[1]Gastos Iniciales'!$D$21</definedName>
    <definedName name="Comisión_Apertura" localSheetId="1">'[1]Gastos Iniciales'!$D$21</definedName>
    <definedName name="Comisión_Apertura">#REF!</definedName>
    <definedName name="Comisión_Apertura_sin_IVA" localSheetId="2">'[1]Gastos Iniciales'!$B$21</definedName>
    <definedName name="Comisión_Apertura_sin_IVA" localSheetId="1">'[1]Gastos Iniciales'!$B$21</definedName>
    <definedName name="Comisión_Apertura_sin_IVA">#REF!</definedName>
    <definedName name="Comisión_Avalúo" localSheetId="2">'[1]Gastos Iniciales'!$D$19</definedName>
    <definedName name="Comisión_Avalúo" localSheetId="1">'[1]Gastos Iniciales'!$D$19</definedName>
    <definedName name="Comisión_Avalúo">#REF!</definedName>
    <definedName name="Comisión_Avalúo_sin_IVA" localSheetId="2">'[1]Gastos Iniciales'!$B$19</definedName>
    <definedName name="Comisión_Avalúo_sin_IVA" localSheetId="1">'[1]Gastos Iniciales'!$B$19</definedName>
    <definedName name="Comisión_Avalúo_sin_IVA">#REF!</definedName>
    <definedName name="Comisión_Diferida" localSheetId="2">#REF!</definedName>
    <definedName name="Comisión_Diferida" localSheetId="1">#REF!</definedName>
    <definedName name="Comisión_Diferida">#REF!</definedName>
    <definedName name="Comisión_Investigación_sin_IVA" localSheetId="2">'[1]Gastos Iniciales'!$B$20</definedName>
    <definedName name="Comisión_Investigación_sin_IVA" localSheetId="1">'[1]Gastos Iniciales'!$B$20</definedName>
    <definedName name="Comisión_Investigación_sin_IVA">#REF!</definedName>
    <definedName name="Comisión_Ministración" localSheetId="2">#REF!</definedName>
    <definedName name="Comisión_Ministración" localSheetId="1">#REF!</definedName>
    <definedName name="Comisión_Ministración">#REF!</definedName>
    <definedName name="Comisión_Ministración_Layout" localSheetId="2">#REF!</definedName>
    <definedName name="Comisión_Ministración_Layout" localSheetId="1">#REF!</definedName>
    <definedName name="Comisión_Ministración_Layout">#REF!</definedName>
    <definedName name="Comisión_por_Apertura_Contado" localSheetId="2">'[1]Ajustes Subrogación'!$C$8</definedName>
    <definedName name="Comisión_por_Apertura_Contado" localSheetId="1">'[1]Ajustes Subrogación'!$C$8</definedName>
    <definedName name="Comisión_por_Apertura_Contado">#REF!</definedName>
    <definedName name="Comisión_por_Apertura_Financiada" localSheetId="2">'[1]Ajustes Subrogación'!$B$8</definedName>
    <definedName name="Comisión_por_Apertura_Financiada" localSheetId="1">'[1]Ajustes Subrogación'!$B$8</definedName>
    <definedName name="Comisión_por_Apertura_Financiada">#REF!</definedName>
    <definedName name="Comisión_por_Investigación_CAT" localSheetId="2">#REF!</definedName>
    <definedName name="Comisión_por_Investigación_CAT" localSheetId="1">#REF!</definedName>
    <definedName name="Comisión_por_Investigación_CAT">#REF!</definedName>
    <definedName name="Comp_Pago_Por_Mil" localSheetId="2">[1]Cotización!$156:$156</definedName>
    <definedName name="Comp_Pago_Por_Mil" localSheetId="1">[1]Cotización!$156:$156</definedName>
    <definedName name="Comp_Pago_Por_Mil">#REF!</definedName>
    <definedName name="Comp_Pago_Total" localSheetId="2">[1]Cotización!$170:$170</definedName>
    <definedName name="Comp_Pago_Total" localSheetId="1">[1]Cotización!$170:$170</definedName>
    <definedName name="Comp_Pago_Total">#REF!</definedName>
    <definedName name="Comp_Tasa_Interés" localSheetId="2">[1]Cotización!$152:$152</definedName>
    <definedName name="Comp_Tasa_Interés" localSheetId="1">[1]Cotización!$152:$152</definedName>
    <definedName name="Comp_Tasa_Interés">#REF!</definedName>
    <definedName name="Comportamiento_Tasa_Fuerte" localSheetId="2">[1]Aclaraciones!$B$6</definedName>
    <definedName name="Comportamiento_Tasa_Fuerte" localSheetId="1">[1]Aclaraciones!$B$6</definedName>
    <definedName name="Comportamiento_Tasa_Fuerte">#REF!</definedName>
    <definedName name="Constante_para_Salario_Mínimo_Mensual" localSheetId="2">'[1]UDIS y SM'!$B$12</definedName>
    <definedName name="Constante_para_Salario_Mínimo_Mensual" localSheetId="1">'[1]UDIS y SM'!$B$12</definedName>
    <definedName name="Constante_para_Salario_Mínimo_Mensual">#REF!</definedName>
    <definedName name="Construcción" localSheetId="2">'[3]Tabla Parámetros'!$C$43:$C$44</definedName>
    <definedName name="Construcción" localSheetId="1">'[4]Tabla Parámetros'!$C$43:$C$44</definedName>
    <definedName name="Construcción">#REF!</definedName>
    <definedName name="Contado" localSheetId="2">[1]Comisiones!$A$3</definedName>
    <definedName name="Contado" localSheetId="1">[1]Comisiones!$A$3</definedName>
    <definedName name="Contado">#REF!</definedName>
    <definedName name="Contenido_Notarial" localSheetId="2">'Oferta Vinculante'!$M$19</definedName>
    <definedName name="Conyugal" localSheetId="2">'[1]Tipo de Crédito'!$A$2</definedName>
    <definedName name="Conyugal" localSheetId="1">'[1]Tipo de Crédito'!$A$2</definedName>
    <definedName name="Conyugal">#REF!</definedName>
    <definedName name="Cotiza_en" localSheetId="2">[1]DondeCotiza!$B$3</definedName>
    <definedName name="Cotiza_en" localSheetId="1">[1]DondeCotiza!$B$3</definedName>
    <definedName name="Cotiza_en">#REF!</definedName>
    <definedName name="Cotización_Nombre_Completo_Destino_Producto" localSheetId="2">[1]Cotización!$D$12</definedName>
    <definedName name="Cotización_Nombre_Completo_Destino_Producto" localSheetId="1">[1]Cotización!$D$12</definedName>
    <definedName name="Cotización_Nombre_Completo_Destino_Producto">#REF!</definedName>
    <definedName name="CPD" localSheetId="2">'[1]Crédito Banorte'!$O$73</definedName>
    <definedName name="CPD" localSheetId="1">'[1]Crédito Banorte'!$O$73</definedName>
    <definedName name="CPD">#REF!</definedName>
    <definedName name="CPDC" localSheetId="2">'[1]Crédito Banorte'!$O$74</definedName>
    <definedName name="CPDC" localSheetId="1">'[1]Crédito Banorte'!$O$74</definedName>
    <definedName name="CPDC">#REF!</definedName>
    <definedName name="CPI" localSheetId="2">'[1]Crédito Banorte'!$O$70</definedName>
    <definedName name="CPI" localSheetId="1">'[1]Crédito Banorte'!$O$70</definedName>
    <definedName name="CPI">#REF!</definedName>
    <definedName name="CPIC" localSheetId="2">'[1]Crédito Banorte'!$O$71</definedName>
    <definedName name="CPIC" localSheetId="1">'[1]Crédito Banorte'!$O$71</definedName>
    <definedName name="CPIC">#REF!</definedName>
    <definedName name="Crédito_a_Otorgar_Cónyuge" localSheetId="2">[1]Validaciones!$D$9</definedName>
    <definedName name="Crédito_a_Otorgar_Cónyuge" localSheetId="1">[1]Validaciones!$D$9</definedName>
    <definedName name="Crédito_a_Otorgar_Cónyuge">#REF!</definedName>
    <definedName name="Crédito_a_Otorgar_Titular" localSheetId="2">[1]Validaciones!$C$9</definedName>
    <definedName name="Crédito_a_Otorgar_Titular" localSheetId="1">[1]Validaciones!$C$9</definedName>
    <definedName name="Crédito_a_Otorgar_Titular">#REF!</definedName>
    <definedName name="Crédito_Apoyo" localSheetId="2">'[1]PASO6 APOYO'!$F$11</definedName>
    <definedName name="Crédito_Apoyo" localSheetId="1">'[1]PASO6 APOYO'!$F$11</definedName>
    <definedName name="Crédito_Apoyo">#REF!</definedName>
    <definedName name="Crédito_Banorte" localSheetId="2">'[1]Crédito Banorte'!$O$88</definedName>
    <definedName name="Crédito_Banorte" localSheetId="1">'[1]Crédito Banorte'!$O$88</definedName>
    <definedName name="Crédito_Banorte">#REF!</definedName>
    <definedName name="Crédito_Banorte_Anterior" localSheetId="2">'[1]Crédito Banorte'!$D$62</definedName>
    <definedName name="Crédito_Banorte_Anterior" localSheetId="1">'[1]Crédito Banorte'!$D$62</definedName>
    <definedName name="Crédito_Banorte_Anterior">#REF!</definedName>
    <definedName name="Crédito_Banorte_Antes_De_Método_Alterno" localSheetId="2">#REF!</definedName>
    <definedName name="Crédito_Banorte_Antes_De_Método_Alterno" localSheetId="1">#REF!</definedName>
    <definedName name="Crédito_Banorte_Antes_De_Método_Alterno">#REF!</definedName>
    <definedName name="Crédito_Banorte_Antes_de_Opcional" localSheetId="2">'[1]Crédito Banorte'!$C$60</definedName>
    <definedName name="Crédito_Banorte_Antes_de_Opcional" localSheetId="1">'[1]Crédito Banorte'!$C$60</definedName>
    <definedName name="Crédito_Banorte_Antes_de_Opcional">#REF!</definedName>
    <definedName name="Crédito_Banorte_Mayo2014" localSheetId="2">'[1]Crédito Banorte'!$G$65</definedName>
    <definedName name="Crédito_Banorte_Mayo2014" localSheetId="1">'[1]Crédito Banorte'!$G$65</definedName>
    <definedName name="Crédito_Banorte_Mayo2014">#REF!</definedName>
    <definedName name="Crédito_Cónyuge_Cofinavit" localSheetId="2">'[1]PASO6 COFINAVIT'!$G$24</definedName>
    <definedName name="Crédito_Cónyuge_Cofinavit" localSheetId="1">'[1]PASO6 COFINAVIT'!$G$24</definedName>
    <definedName name="Crédito_Cónyuge_Cofinavit">#REF!</definedName>
    <definedName name="Crédito_goalseek_final" localSheetId="2">'[1]Crédito Banorte'!$E$9</definedName>
    <definedName name="Crédito_goalseek_final" localSheetId="1">'[1]Crédito Banorte'!$E$9</definedName>
    <definedName name="Crédito_goalseek_final">#REF!</definedName>
    <definedName name="Crédito_goalseek_por_ingreso" localSheetId="2">'[1]PASO7 TRAD'!$D$37</definedName>
    <definedName name="Crédito_goalseek_por_ingreso" localSheetId="1">'[1]PASO7 TRAD'!$D$37</definedName>
    <definedName name="Crédito_goalseek_por_ingreso">#REF!</definedName>
    <definedName name="Crédito_goalseek_por_pago" localSheetId="2">'[1]PASO7 TRAD'!$C$37</definedName>
    <definedName name="Crédito_goalseek_por_pago" localSheetId="1">'[1]PASO7 TRAD'!$C$37</definedName>
    <definedName name="Crédito_goalseek_por_pago">#REF!</definedName>
    <definedName name="Crédito_Máximo" localSheetId="2">'[1]PASO7 TRAD'!$O$10</definedName>
    <definedName name="Crédito_Máximo" localSheetId="1">'[1]PASO7 TRAD'!$O$10</definedName>
    <definedName name="Crédito_Máximo">#REF!</definedName>
    <definedName name="Crédito_Mínimo" localSheetId="2">'[1]PASO7 TRAD'!$N$10</definedName>
    <definedName name="Crédito_Mínimo" localSheetId="1">'[1]PASO7 TRAD'!$N$10</definedName>
    <definedName name="Crédito_Mínimo">#REF!</definedName>
    <definedName name="Crédito_por_capacidad_de_pago" localSheetId="2">'[1]Crédito Banorte'!$C$69</definedName>
    <definedName name="Crédito_por_capacidad_de_pago" localSheetId="1">'[1]Crédito Banorte'!$C$69</definedName>
    <definedName name="Crédito_por_capacidad_de_pago">#REF!</definedName>
    <definedName name="Crédito_por_despeje_con_pago_creciente" localSheetId="2">'[1]Crédito Banorte'!$D$45</definedName>
    <definedName name="Crédito_por_despeje_con_pago_creciente" localSheetId="1">'[1]Crédito Banorte'!$D$45</definedName>
    <definedName name="Crédito_por_despeje_con_pago_creciente">#REF!</definedName>
    <definedName name="Crédito_por_despeje_sin_pago_creciente" localSheetId="2">'[1]Crédito Banorte'!$D$31</definedName>
    <definedName name="Crédito_por_despeje_sin_pago_creciente" localSheetId="1">'[1]Crédito Banorte'!$D$31</definedName>
    <definedName name="Crédito_por_despeje_sin_pago_creciente">#REF!</definedName>
    <definedName name="Crédito_por_fórmula" localSheetId="2">'[1]Crédito Banorte'!$D$9</definedName>
    <definedName name="Crédito_por_fórmula" localSheetId="1">'[1]Crédito Banorte'!$D$9</definedName>
    <definedName name="Crédito_por_fórmula">#REF!</definedName>
    <definedName name="Crédito_según_Aforo" localSheetId="2">'[1]Crédito Banorte'!$C$71</definedName>
    <definedName name="Crédito_según_Aforo" localSheetId="1">'[1]Crédito Banorte'!$C$71</definedName>
    <definedName name="Crédito_según_Aforo">#REF!</definedName>
    <definedName name="Crédito_Titular_Cofinavit" localSheetId="2">'[1]PASO6 COFINAVIT'!$E$24</definedName>
    <definedName name="Crédito_Titular_Cofinavit" localSheetId="1">'[1]PASO6 COFINAVIT'!$E$24</definedName>
    <definedName name="Crédito_Titular_Cofinavit">#REF!</definedName>
    <definedName name="Crédito_Tradicional" localSheetId="2">'[1]PASO7 TRAD'!$F$10</definedName>
    <definedName name="Crédito_Tradicional" localSheetId="1">'[1]PASO7 TRAD'!$F$10</definedName>
    <definedName name="Crédito_Tradicional">#REF!</definedName>
    <definedName name="Crédito_Tradicional_Definitivo" localSheetId="2">'[1]PASO7 TRAD'!$O$35</definedName>
    <definedName name="Crédito_Tradicional_Definitivo" localSheetId="1">'[1]PASO7 TRAD'!$O$35</definedName>
    <definedName name="Crédito_Tradicional_Definitivo">#REF!</definedName>
    <definedName name="CT" localSheetId="2">'[1]Crédito Banorte'!$O$76</definedName>
    <definedName name="CT" localSheetId="1">'[1]Crédito Banorte'!$O$76</definedName>
    <definedName name="CT">#REF!</definedName>
    <definedName name="CVTO" localSheetId="2">[1]Destinos!$A$15</definedName>
    <definedName name="CVTO" localSheetId="1">[1]Destinos!$A$15</definedName>
    <definedName name="CVTO">#REF!</definedName>
    <definedName name="D" localSheetId="2">[1]Productos!$B$12</definedName>
    <definedName name="D" localSheetId="1">[1]Productos!$B$12</definedName>
    <definedName name="D">#REF!</definedName>
    <definedName name="Db.Variantes" localSheetId="2">[1]Variantes!$A$7:$C$14</definedName>
    <definedName name="Db.Variantes" localSheetId="1">[1]Variantes!$A$7:$C$14</definedName>
    <definedName name="Db.Variantes">#REF!</definedName>
    <definedName name="Descuento_Cónyuge_Cofinavit" localSheetId="2">'[1]PASO6 COFINAVIT'!$G$25</definedName>
    <definedName name="Descuento_Cónyuge_Cofinavit" localSheetId="1">'[1]PASO6 COFINAVIT'!$G$25</definedName>
    <definedName name="Descuento_Cónyuge_Cofinavit">#REF!</definedName>
    <definedName name="Descuento_Cónyuge_Fovissste" localSheetId="2">'[1]PASO6 FOVISSSTE'!$G$25</definedName>
    <definedName name="Descuento_Cónyuge_Fovissste" localSheetId="1">'[1]PASO6 FOVISSSTE'!$G$25</definedName>
    <definedName name="Descuento_Cónyuge_Fovissste">#REF!</definedName>
    <definedName name="Descuento_ecotecnologías" localSheetId="2">[1]Validaciones!$C$62</definedName>
    <definedName name="Descuento_ecotecnologías" localSheetId="1">[1]Validaciones!$C$62</definedName>
    <definedName name="Descuento_ecotecnologías">#REF!</definedName>
    <definedName name="Descuento_en_tasa" localSheetId="2">#REF!</definedName>
    <definedName name="Descuento_en_tasa" localSheetId="1">#REF!</definedName>
    <definedName name="Descuento_en_tasa">#REF!</definedName>
    <definedName name="Descuento_Titular_Cofinavit" localSheetId="2">'[1]PASO6 COFINAVIT'!$E$25</definedName>
    <definedName name="Descuento_Titular_Cofinavit" localSheetId="1">'[1]PASO6 COFINAVIT'!$E$25</definedName>
    <definedName name="Descuento_Titular_Cofinavit">#REF!</definedName>
    <definedName name="Descuento_Titular_Fovissste" localSheetId="2">'[1]PASO6 FOVISSSTE'!$E$25</definedName>
    <definedName name="Descuento_Titular_Fovissste" localSheetId="1">'[1]PASO6 FOVISSSTE'!$E$25</definedName>
    <definedName name="Descuento_Titular_Fovissste">#REF!</definedName>
    <definedName name="Destino" localSheetId="2">[1]Destinos!$A$4</definedName>
    <definedName name="Destino" localSheetId="1">[1]Destinos!$A$4</definedName>
    <definedName name="Destino">#REF!</definedName>
    <definedName name="Destino.Aplica_Daños?" localSheetId="2">[1]Destinos!$M$4</definedName>
    <definedName name="Destino.Aplica_Daños?" localSheetId="1">[1]Destinos!$M$4</definedName>
    <definedName name="Destino.Aplica_Daños?">#REF!</definedName>
    <definedName name="Destino.Aplican_Productos?" localSheetId="2">[1]Destinos!$F$4</definedName>
    <definedName name="Destino.Aplican_Productos?" localSheetId="1">[1]Destinos!$F$4</definedName>
    <definedName name="Destino.Aplican_Productos?">#REF!</definedName>
    <definedName name="Destino.Financía_Gastos_Iniciales?" localSheetId="2">[1]Destinos!$N$4</definedName>
    <definedName name="Destino.Financía_Gastos_Iniciales?" localSheetId="1">[1]Destinos!$N$4</definedName>
    <definedName name="Destino.Financía_Gastos_Iniciales?">#REF!</definedName>
    <definedName name="Destino.Gravamen_se_cancela_aparte?" localSheetId="2">[1]Destinos!$O$4</definedName>
    <definedName name="Destino.Gravamen_se_cancela_aparte?" localSheetId="1">[1]Destinos!$O$4</definedName>
    <definedName name="Destino.Gravamen_se_cancela_aparte?">#REF!</definedName>
    <definedName name="Destino.Id_Tipo_Cobro_GN" localSheetId="2">[1]Destinos!$K$4</definedName>
    <definedName name="Destino.Id_Tipo_Cobro_GN" localSheetId="1">[1]Destinos!$K$4</definedName>
    <definedName name="Destino.Id_Tipo_Cobro_GN">#REF!</definedName>
    <definedName name="Destino.Ignora_Rangos_Vivienda" localSheetId="2">[1]Destinos!$E$4</definedName>
    <definedName name="Destino.Ignora_Rangos_Vivienda" localSheetId="1">[1]Destinos!$E$4</definedName>
    <definedName name="Destino.Ignora_Rangos_Vivienda">#REF!</definedName>
    <definedName name="Destino.Importa_Destino_Anterior?" localSheetId="2">[1]Destinos!$L$4</definedName>
    <definedName name="Destino.Importa_Destino_Anterior?" localSheetId="1">[1]Destinos!$L$4</definedName>
    <definedName name="Destino.Importa_Destino_Anterior?">#REF!</definedName>
    <definedName name="Destino.Índice_Ajustado" localSheetId="2">[1]Destinos!$H$4</definedName>
    <definedName name="Destino.Índice_Ajustado" localSheetId="1">[1]Destinos!$H$4</definedName>
    <definedName name="Destino.Índice_Ajustado">#REF!</definedName>
    <definedName name="Destino.Nombre" localSheetId="2">[1]Destinos!$B$4</definedName>
    <definedName name="Destino.Nombre" localSheetId="1">[1]Destinos!$B$4</definedName>
    <definedName name="Destino.Nombre">#REF!</definedName>
    <definedName name="Destino.Requiere_Vigilancia?" localSheetId="2">[1]Destinos!$P$4</definedName>
    <definedName name="Destino.Requiere_Vigilancia?" localSheetId="1">[1]Destinos!$P$4</definedName>
    <definedName name="Destino.Requiere_Vigilancia?">#REF!</definedName>
    <definedName name="Destino.Tasa_Interés" localSheetId="2">[1]Destinos!$G$4</definedName>
    <definedName name="Destino.Tasa_Interés" localSheetId="1">[1]Destinos!$G$4</definedName>
    <definedName name="Destino.Tasa_Interés">#REF!</definedName>
    <definedName name="Destino_anterior_causa_IVA" localSheetId="2">[1]IVA!$E$23</definedName>
    <definedName name="Destino_anterior_causa_IVA" localSheetId="1">[1]IVA!$E$23</definedName>
    <definedName name="Destino_anterior_causa_IVA">#REF!</definedName>
    <definedName name="Destino_Anterior_Causa_IVA?" localSheetId="2">[1]IVA!$E$27</definedName>
    <definedName name="Destino_Anterior_Causa_IVA?" localSheetId="1">[1]IVA!$E$27</definedName>
    <definedName name="Destino_Anterior_Causa_IVA?">#REF!</definedName>
    <definedName name="Destino_con_IVA_condicional?" localSheetId="2">[1]IVA!$E$20</definedName>
    <definedName name="Destino_con_IVA_condicional?" localSheetId="1">[1]IVA!$E$20</definedName>
    <definedName name="Destino_con_IVA_condicional?">#REF!</definedName>
    <definedName name="Destino_con_IVA_directo?" localSheetId="2">[1]IVA!$B$20</definedName>
    <definedName name="Destino_con_IVA_directo?" localSheetId="1">[1]IVA!$B$20</definedName>
    <definedName name="Destino_con_IVA_directo?">#REF!</definedName>
    <definedName name="Destino_Devuelve_Efectivo" localSheetId="2">[1]Destinos!$J$4</definedName>
    <definedName name="Destino_Devuelve_Efectivo" localSheetId="1">[1]Destinos!$J$4</definedName>
    <definedName name="Destino_Devuelve_Efectivo">#REF!</definedName>
    <definedName name="Destino_Soporta_Ministraciones" localSheetId="2">[1]Destinos!$I$4</definedName>
    <definedName name="Destino_Soporta_Ministraciones" localSheetId="1">[1]Destinos!$I$4</definedName>
    <definedName name="Destino_Soporta_Ministraciones">#REF!</definedName>
    <definedName name="Destino_Soporta_Programas_Especiales?" localSheetId="2">[1]Destinos!$D$4</definedName>
    <definedName name="Destino_Soporta_Programas_Especiales?" localSheetId="1">[1]Destinos!$D$4</definedName>
    <definedName name="Destino_Soporta_Programas_Especiales?">#REF!</definedName>
    <definedName name="Destinos_Con_IVA_Condicional" localSheetId="2">[1]IVA!$E$17:$E$18</definedName>
    <definedName name="Destinos_Con_IVA_Condicional" localSheetId="1">[1]IVA!$E$17:$E$18</definedName>
    <definedName name="Destinos_Con_IVA_Condicional">#REF!</definedName>
    <definedName name="Destinos_Con_IVA_Directo" localSheetId="2">[1]IVA!$B$17:$B$18</definedName>
    <definedName name="Destinos_Con_IVA_Directo" localSheetId="1">[1]IVA!$B$17:$B$18</definedName>
    <definedName name="Destinos_Con_IVA_Directo">#REF!</definedName>
    <definedName name="Día_Cotización" localSheetId="2">'[1]Fecha Pago'!$B$10</definedName>
    <definedName name="Día_Cotización" localSheetId="1">'[1]Fecha Pago'!$B$10</definedName>
    <definedName name="Día_Cotización">#REF!</definedName>
    <definedName name="Día_máximo" localSheetId="2">'[1]Fecha Pago'!$G$11</definedName>
    <definedName name="Día_máximo" localSheetId="1">'[1]Fecha Pago'!$G$11</definedName>
    <definedName name="Día_máximo">#REF!</definedName>
    <definedName name="Día_Primer_Pago" localSheetId="2">'[1]Fecha Pago'!$B$6</definedName>
    <definedName name="Día_Primer_Pago" localSheetId="1">'[1]Fecha Pago'!$B$6</definedName>
    <definedName name="Día_Primer_Pago">#REF!</definedName>
    <definedName name="Días_PMT" localSheetId="2">#REF!</definedName>
    <definedName name="Días_PMT" localSheetId="1">#REF!</definedName>
    <definedName name="Días_PMT">#REF!</definedName>
    <definedName name="Duración_Intereses" localSheetId="2">'[1]Fecha Pago'!$L:$L</definedName>
    <definedName name="Duración_Intereses" localSheetId="1">'[1]Fecha Pago'!$L:$L</definedName>
    <definedName name="Duración_Intereses">#REF!</definedName>
    <definedName name="E" localSheetId="2">[1]Productos!$B$8</definedName>
    <definedName name="E" localSheetId="1">[1]Productos!$B$8</definedName>
    <definedName name="E">#REF!</definedName>
    <definedName name="Enganche" localSheetId="2">'[1]Salida Cotización'!$D$4</definedName>
    <definedName name="Enganche" localSheetId="1">'[1]Salida Cotización'!$D$4</definedName>
    <definedName name="Enganche">#REF!</definedName>
    <definedName name="Esquema" localSheetId="2">'Oferta Vinculante'!#REF!</definedName>
    <definedName name="Esquema_Especial" localSheetId="2">'[1]Esquema Especial'!$B$1</definedName>
    <definedName name="Esquema_Especial" localSheetId="1">'[1]Esquema Especial'!$B$1</definedName>
    <definedName name="Esquema_Especial">#REF!</definedName>
    <definedName name="Estado" localSheetId="2">'[1]GASNOT GLUE'!$B$6</definedName>
    <definedName name="Estado" localSheetId="1">'[1]GASNOT GLUE'!$B$6</definedName>
    <definedName name="Estado">#REF!</definedName>
    <definedName name="Estados" localSheetId="2">'[1]Datos Generales'!$B$2:$B$33</definedName>
    <definedName name="Estados" localSheetId="1">'[1]Datos Generales'!$B$2:$B$33</definedName>
    <definedName name="Estados">#REF!</definedName>
    <definedName name="Etiqueta_Aclaración_Aportación_Adicional" localSheetId="2">'[1]Crédito Banorte'!$O$102</definedName>
    <definedName name="Etiqueta_Aclaración_Aportación_Adicional" localSheetId="1">'[1]Crédito Banorte'!$O$102</definedName>
    <definedName name="Etiqueta_Aclaración_Aportación_Adicional">#REF!</definedName>
    <definedName name="Etiqueta_Años" localSheetId="2">[1]Plazos!$J$21</definedName>
    <definedName name="Etiqueta_Años" localSheetId="1">[1]Plazos!$J$21</definedName>
    <definedName name="Etiqueta_Años">#REF!</definedName>
    <definedName name="Etiqueta_Aportación_Opcional_Cofinanciamiento" localSheetId="2">'[1]Crédito Banorte'!$O$101</definedName>
    <definedName name="Etiqueta_Aportación_Opcional_Cofinanciamiento" localSheetId="1">'[1]Crédito Banorte'!$O$101</definedName>
    <definedName name="Etiqueta_Aportación_Opcional_Cofinanciamiento">#REF!</definedName>
    <definedName name="Etiqueta_Avalúo_para_Leyenda" localSheetId="2">'[1]Ajustes Subrogación'!$B$13</definedName>
    <definedName name="Etiqueta_Avalúo_para_Leyenda" localSheetId="1">'[1]Ajustes Subrogación'!$B$13</definedName>
    <definedName name="Etiqueta_Avalúo_para_Leyenda">#REF!</definedName>
    <definedName name="Etiqueta_Crédito_Banorte_Cofinanciamiento" localSheetId="2">'[1]Crédito Banorte'!$O$98</definedName>
    <definedName name="Etiqueta_Crédito_Banorte_Cofinanciamiento" localSheetId="1">'[1]Crédito Banorte'!$O$98</definedName>
    <definedName name="Etiqueta_Crédito_Banorte_Cofinanciamiento">#REF!</definedName>
    <definedName name="Etiqueta_Meses_de_más" localSheetId="2">[1]Plazos!$J$20</definedName>
    <definedName name="Etiqueta_Meses_de_más" localSheetId="1">[1]Plazos!$J$20</definedName>
    <definedName name="Etiqueta_Meses_de_más">#REF!</definedName>
    <definedName name="Etiqueta_Monto_de_Recursos_Extra" localSheetId="2">'[1]Crédito Banorte'!$O$99</definedName>
    <definedName name="Etiqueta_Monto_de_Recursos_Extra" localSheetId="1">'[1]Crédito Banorte'!$O$99</definedName>
    <definedName name="Etiqueta_Monto_de_Recursos_Extra">#REF!</definedName>
    <definedName name="Etiqueta_Neto_Gastos_Originación" localSheetId="2">'[1]Crédito Banorte'!$O$105</definedName>
    <definedName name="Etiqueta_Neto_Gastos_Originación" localSheetId="1">'[1]Crédito Banorte'!$O$105</definedName>
    <definedName name="Etiqueta_Neto_Gastos_Originación">#REF!</definedName>
    <definedName name="Etiqueta_VSM_Mensual" localSheetId="2">'[1]UDIS y SM'!$B$10</definedName>
    <definedName name="Etiqueta_VSM_Mensual" localSheetId="1">'[1]UDIS y SM'!$B$10</definedName>
    <definedName name="Etiqueta_VSM_Mensual">#REF!</definedName>
    <definedName name="Etiquetas" localSheetId="2">[1]Etiquetas!$A$4:$H$24</definedName>
    <definedName name="Etiquetas" localSheetId="1">[1]Etiquetas!$A$4:$H$24</definedName>
    <definedName name="Etiquetas">#REF!</definedName>
    <definedName name="Existe_Recurso_Extra?" localSheetId="2">'[1]Crédito Banorte'!$O$92</definedName>
    <definedName name="Existe_Recurso_Extra?" localSheetId="1">'[1]Crédito Banorte'!$O$92</definedName>
    <definedName name="Existe_Recurso_Extra?">#REF!</definedName>
    <definedName name="F_" localSheetId="2">[1]Productos!$B$13</definedName>
    <definedName name="F_" localSheetId="1">[1]Productos!$B$13</definedName>
    <definedName name="F_">#REF!</definedName>
    <definedName name="Factor_IVA_Comisiones" localSheetId="2">[1]IVA!$B$32</definedName>
    <definedName name="Factor_IVA_Comisiones" localSheetId="1">[1]IVA!$B$32</definedName>
    <definedName name="Factor_IVA_Comisiones">#REF!</definedName>
    <definedName name="Factor_Pago_15_IVA_Fr" localSheetId="2">'[1]Pago Creciente'!$A$3</definedName>
    <definedName name="Factor_Pago_15_IVA_Fr" localSheetId="1">'[1]Pago Creciente'!$A$3</definedName>
    <definedName name="Factor_Pago_15_IVA_Fr">#REF!</definedName>
    <definedName name="Factor_Pago_15_IVA_No_Fr" localSheetId="2">'[1]Pago Creciente'!$A$4</definedName>
    <definedName name="Factor_Pago_15_IVA_No_Fr" localSheetId="1">'[1]Pago Creciente'!$A$4</definedName>
    <definedName name="Factor_Pago_15_IVA_No_Fr">#REF!</definedName>
    <definedName name="Factor_Pago_15_sin_IVA" localSheetId="2">'[1]Pago Creciente'!$A$1</definedName>
    <definedName name="Factor_Pago_15_sin_IVA" localSheetId="1">'[1]Pago Creciente'!$A$1</definedName>
    <definedName name="Factor_Pago_15_sin_IVA">#REF!</definedName>
    <definedName name="Factor_Pago_15_sin_IVA_Accesible" localSheetId="2">'[1]Pago Creciente'!$B$1</definedName>
    <definedName name="Factor_Pago_15_sin_IVA_Accesible" localSheetId="1">'[1]Pago Creciente'!$B$1</definedName>
    <definedName name="Factor_Pago_15_sin_IVA_Accesible">#REF!</definedName>
    <definedName name="Factor_Pago_15_sin_IVA_Accesible_Plus" localSheetId="2">'[1]Pago Creciente'!$C$1</definedName>
    <definedName name="Factor_Pago_15_sin_IVA_Accesible_Plus" localSheetId="1">'[1]Pago Creciente'!$C$1</definedName>
    <definedName name="Factor_Pago_15_sin_IVA_Accesible_Plus">#REF!</definedName>
    <definedName name="Factor_Pago_15_sin_IVA_Mas_por_Menos" localSheetId="2">'[1]Pago Creciente'!$D$1</definedName>
    <definedName name="Factor_Pago_15_sin_IVA_Mas_por_Menos" localSheetId="1">'[1]Pago Creciente'!$D$1</definedName>
    <definedName name="Factor_Pago_15_sin_IVA_Mas_por_Menos">#REF!</definedName>
    <definedName name="Factor_Pago_20_IVA_Fr" localSheetId="2">'[1]Pago Creciente'!$A$5</definedName>
    <definedName name="Factor_Pago_20_IVA_Fr" localSheetId="1">'[1]Pago Creciente'!$A$5</definedName>
    <definedName name="Factor_Pago_20_IVA_Fr">#REF!</definedName>
    <definedName name="Factor_Pago_20_IVA_No_Fr" localSheetId="2">'[1]Pago Creciente'!$A$6</definedName>
    <definedName name="Factor_Pago_20_IVA_No_Fr" localSheetId="1">'[1]Pago Creciente'!$A$6</definedName>
    <definedName name="Factor_Pago_20_IVA_No_Fr">#REF!</definedName>
    <definedName name="Factor_Pago_20_sin_IVA" localSheetId="2">'[1]Pago Creciente'!$A$2</definedName>
    <definedName name="Factor_Pago_20_sin_IVA" localSheetId="1">'[1]Pago Creciente'!$A$2</definedName>
    <definedName name="Factor_Pago_20_sin_IVA">#REF!</definedName>
    <definedName name="Factor_Pago_20_sin_IVA_Accesible" localSheetId="2">'[1]Pago Creciente'!$B$2</definedName>
    <definedName name="Factor_Pago_20_sin_IVA_Accesible" localSheetId="1">'[1]Pago Creciente'!$B$2</definedName>
    <definedName name="Factor_Pago_20_sin_IVA_Accesible">#REF!</definedName>
    <definedName name="Factor_Pago_20_sin_IVA_Accesible_Plus" localSheetId="2">'[1]Pago Creciente'!$C$2</definedName>
    <definedName name="Factor_Pago_20_sin_IVA_Accesible_Plus" localSheetId="1">'[1]Pago Creciente'!$C$2</definedName>
    <definedName name="Factor_Pago_20_sin_IVA_Accesible_Plus">#REF!</definedName>
    <definedName name="Factor_Pago_20_sin_IVA_Mas_por_Menos" localSheetId="2">'[1]Pago Creciente'!$D$2</definedName>
    <definedName name="Factor_Pago_20_sin_IVA_Mas_por_Menos" localSheetId="1">'[1]Pago Creciente'!$D$2</definedName>
    <definedName name="Factor_Pago_20_sin_IVA_Mas_por_Menos">#REF!</definedName>
    <definedName name="Factor_Pago_por_Mil_con_IVA" localSheetId="2">'[1]Pago Creciente'!$A$9</definedName>
    <definedName name="Factor_Pago_por_Mil_con_IVA" localSheetId="1">'[1]Pago Creciente'!$A$9</definedName>
    <definedName name="Factor_Pago_por_Mil_con_IVA">#REF!</definedName>
    <definedName name="Factor_Pago_por_Mil_sin_IVA" localSheetId="2">#REF!</definedName>
    <definedName name="Factor_Pago_por_Mil_sin_IVA" localSheetId="1">#REF!</definedName>
    <definedName name="Factor_Pago_por_Mil_sin_IVA">#REF!</definedName>
    <definedName name="Factor_para_Crédito_a_Otorgar" localSheetId="2">[1]Validaciones!$A$9</definedName>
    <definedName name="Factor_para_Crédito_a_Otorgar" localSheetId="1">[1]Validaciones!$A$9</definedName>
    <definedName name="Factor_para_Crédito_a_Otorgar">#REF!</definedName>
    <definedName name="FAP" localSheetId="2">[1]Productos!#REF!</definedName>
    <definedName name="FAP" localSheetId="1">[1]Productos!#REF!</definedName>
    <definedName name="FAP">#REF!</definedName>
    <definedName name="Fecha_Cotización" localSheetId="2">'[1]Fecha Pago'!$B$2</definedName>
    <definedName name="Fecha_Cotización" localSheetId="1">'[1]Fecha Pago'!$B$2</definedName>
    <definedName name="Fecha_Cotización">#REF!</definedName>
    <definedName name="Fecha_Diferente" localSheetId="2">'[1]Fecha Pago'!$D$6</definedName>
    <definedName name="Fecha_Diferente" localSheetId="1">'[1]Fecha Pago'!$D$6</definedName>
    <definedName name="Fecha_Diferente">#REF!</definedName>
    <definedName name="Fechas_de_Pago" localSheetId="2">'[1]Fecha Pago'!$K:$K</definedName>
    <definedName name="Fechas_de_Pago" localSheetId="1">'[1]Fecha Pago'!$K:$K</definedName>
    <definedName name="Fechas_de_Pago">#REF!</definedName>
    <definedName name="Financiada" localSheetId="2">[1]Comisiones!$A$2</definedName>
    <definedName name="Financiada" localSheetId="1">[1]Comisiones!$A$2</definedName>
    <definedName name="Financiada">#REF!</definedName>
    <definedName name="Financiado" localSheetId="2">[1]Comisiones!$A$2</definedName>
    <definedName name="Financiado" localSheetId="1">[1]Comisiones!$A$2</definedName>
    <definedName name="Financiado">#REF!</definedName>
    <definedName name="Financiados" localSheetId="2">[1]Comisiones!$A$2</definedName>
    <definedName name="Financiados" localSheetId="1">[1]Comisiones!$A$2</definedName>
    <definedName name="Financiados">#REF!</definedName>
    <definedName name="Flujo_Cero_Parcial" localSheetId="2">'[1]CAT Flujo Cero'!$E$9</definedName>
    <definedName name="Flujo_Cero_Parcial" localSheetId="1">'[1]CAT Flujo Cero'!$E$9</definedName>
    <definedName name="Flujo_Cero_Parcial">#REF!</definedName>
    <definedName name="Forma_Pago_Comisión_Apertura" localSheetId="2">[1]Comisiones!$B$1</definedName>
    <definedName name="Forma_Pago_Comisión_Apertura" localSheetId="1">[1]Comisiones!$B$1</definedName>
    <definedName name="Forma_Pago_Comisión_Apertura">#REF!</definedName>
    <definedName name="Forma_Pago_Gastos_Iniciales" localSheetId="2">'[1]Gastos Iniciales'!$B$8</definedName>
    <definedName name="Forma_Pago_Gastos_Iniciales" localSheetId="1">'[1]Gastos Iniciales'!$B$8</definedName>
    <definedName name="Forma_Pago_Gastos_Iniciales">#REF!</definedName>
    <definedName name="FOVISSSTE" localSheetId="2">[1]DondeCotiza!$B$9</definedName>
    <definedName name="FOVISSSTE" localSheetId="1">[1]DondeCotiza!$B$9</definedName>
    <definedName name="FOVISSSTE">#REF!</definedName>
    <definedName name="FPM" localSheetId="2">[1]Productos!#REF!</definedName>
    <definedName name="FPM" localSheetId="1">[1]Productos!#REF!</definedName>
    <definedName name="FPM">#REF!</definedName>
    <definedName name="Fragmento_Desglose_Factores_Incremento_MxM" localSheetId="2">[1]Productos!#REF!</definedName>
    <definedName name="Fragmento_Desglose_Factores_Incremento_MxM" localSheetId="1">[1]Productos!#REF!</definedName>
    <definedName name="Fragmento_Desglose_Factores_Incremento_MxM">#REF!</definedName>
    <definedName name="Fragmento_Desglose_Tasas_MxM" localSheetId="2">[1]Tasas!$A$25</definedName>
    <definedName name="Fragmento_Desglose_Tasas_MxM" localSheetId="1">[1]Tasas!$A$25</definedName>
    <definedName name="Fragmento_Desglose_Tasas_MxM">#REF!</definedName>
    <definedName name="Frecuencia_Anualidades" localSheetId="2">#REF!</definedName>
    <definedName name="Frecuencia_Anualidades" localSheetId="1">#REF!</definedName>
    <definedName name="Frecuencia_Anualidades">#REF!</definedName>
    <definedName name="Frecuencia_Aportación_Patronal" localSheetId="2">#REF!</definedName>
    <definedName name="Frecuencia_Aportación_Patronal" localSheetId="1">#REF!</definedName>
    <definedName name="Frecuencia_Aportación_Patronal">#REF!</definedName>
    <definedName name="Frontera" localSheetId="2">[1]IVA!$A$6</definedName>
    <definedName name="Frontera" localSheetId="1">[1]IVA!$A$6</definedName>
    <definedName name="Frontera">#REF!</definedName>
    <definedName name="gastos" localSheetId="2">[5]Adm!$AG$5:$AG$8</definedName>
    <definedName name="gastos" localSheetId="1">[5]Adm!$AG$5:$AG$8</definedName>
    <definedName name="gastos">#REF!</definedName>
    <definedName name="Gastos_not_goalseek_ingreso" localSheetId="2">'[1]PASO7 TRAD'!$D$41</definedName>
    <definedName name="Gastos_not_goalseek_ingreso" localSheetId="1">'[1]PASO7 TRAD'!$D$41</definedName>
    <definedName name="Gastos_not_goalseek_ingreso">#REF!</definedName>
    <definedName name="Gastos_not_goalseek_pago" localSheetId="2">'[1]PASO7 TRAD'!$C$41</definedName>
    <definedName name="Gastos_not_goalseek_pago" localSheetId="1">'[1]PASO7 TRAD'!$C$41</definedName>
    <definedName name="Gastos_not_goalseek_pago">#REF!</definedName>
    <definedName name="Gastos_Originación" localSheetId="2">'[1]Salida Cotización'!$D$7</definedName>
    <definedName name="Gastos_Originación" localSheetId="1">'[1]Salida Cotización'!$D$7</definedName>
    <definedName name="Gastos_Originación">#REF!</definedName>
    <definedName name="GI.Monto_CAv_Contado" localSheetId="2">'[1]Gastos Iniciales'!$H$19</definedName>
    <definedName name="GI.Monto_CAv_Contado" localSheetId="1">'[1]Gastos Iniciales'!$H$19</definedName>
    <definedName name="GI.Monto_CAv_Contado">#REF!</definedName>
    <definedName name="GI.Monto_CAv_Financiar" localSheetId="2">'[1]Gastos Iniciales'!$G$19</definedName>
    <definedName name="GI.Monto_CAv_Financiar" localSheetId="1">'[1]Gastos Iniciales'!$G$19</definedName>
    <definedName name="GI.Monto_CAv_Financiar">#REF!</definedName>
    <definedName name="GI.Monto_CInv_Contado" localSheetId="2">'[1]Gastos Iniciales'!$H$20</definedName>
    <definedName name="GI.Monto_CInv_Contado" localSheetId="1">'[1]Gastos Iniciales'!$H$20</definedName>
    <definedName name="GI.Monto_CInv_Contado">#REF!</definedName>
    <definedName name="GI.Monto_CInv_Financiar" localSheetId="2">'[1]Gastos Iniciales'!$G$20</definedName>
    <definedName name="GI.Monto_CInv_Financiar" localSheetId="1">'[1]Gastos Iniciales'!$G$20</definedName>
    <definedName name="GI.Monto_CInv_Financiar">#REF!</definedName>
    <definedName name="GI.Monto_Financiar_Total" localSheetId="2">'[1]Gastos Iniciales'!$G$22</definedName>
    <definedName name="GI.Monto_Financiar_Total" localSheetId="1">'[1]Gastos Iniciales'!$G$22</definedName>
    <definedName name="GI.Monto_Financiar_Total">#REF!</definedName>
    <definedName name="GI.Monto_GN_Contado" localSheetId="2">'[1]Gastos Iniciales'!$H$18</definedName>
    <definedName name="GI.Monto_GN_Contado" localSheetId="1">'[1]Gastos Iniciales'!$H$18</definedName>
    <definedName name="GI.Monto_GN_Contado">#REF!</definedName>
    <definedName name="GI.Monto_GN_Financiar" localSheetId="2">'[1]Gastos Iniciales'!$G$18</definedName>
    <definedName name="GI.Monto_GN_Financiar" localSheetId="1">'[1]Gastos Iniciales'!$G$18</definedName>
    <definedName name="GI.Monto_GN_Financiar">#REF!</definedName>
    <definedName name="Hay_Daños?" localSheetId="2">[1]Tipo_Seguro!$F$40</definedName>
    <definedName name="Hay_Daños?" localSheetId="1">[1]Tipo_Seguro!$F$40</definedName>
    <definedName name="Hay_Daños?">#REF!</definedName>
    <definedName name="Hay_Vida?" localSheetId="2">[1]Tipo_Seguro!$F$39</definedName>
    <definedName name="Hay_Vida?" localSheetId="1">[1]Tipo_Seguro!$F$39</definedName>
    <definedName name="Hay_Vida?">#REF!</definedName>
    <definedName name="i.Aclaración_Tasa" localSheetId="2">'Oferta Vinculante'!$J$35</definedName>
    <definedName name="i.CAT" localSheetId="2">'Oferta Vinculante'!$J$30</definedName>
    <definedName name="i.Com_Inv_Etiqueta" localSheetId="2">'Oferta Vinculante'!$J$15</definedName>
    <definedName name="i.Comisión_Apertura" localSheetId="2">'Oferta Vinculante'!#REF!</definedName>
    <definedName name="i.Comisión_Autorización" localSheetId="2">'Oferta Vinculante'!$J$16</definedName>
    <definedName name="i.Comisión_Investigación" localSheetId="2">'Oferta Vinculante'!$J$14</definedName>
    <definedName name="i.Comisión_Supervisión_Obra" localSheetId="2">'Oferta Vinculante'!$J$13</definedName>
    <definedName name="i.Destino" localSheetId="2">'Oferta Vinculante'!$J$7</definedName>
    <definedName name="i.Etiqueta_Monto" localSheetId="1">'Tabla Notaría'!#REF!</definedName>
    <definedName name="i.Etiqueta_Tasa" localSheetId="1">'Tabla Notaría'!#REF!</definedName>
    <definedName name="i.Etiqueta_Tasas_Interés" localSheetId="2">'Oferta Vinculante'!$J$10</definedName>
    <definedName name="i.Fecha_Cotización" localSheetId="2">'Oferta Vinculante'!$J$5</definedName>
    <definedName name="i.Importe_Solicitado" localSheetId="2">'Oferta Vinculante'!$J$8</definedName>
    <definedName name="i.Nomenclatura_Notarial" localSheetId="2">'Oferta Vinculante'!$J$32</definedName>
    <definedName name="i.Plazo_en_Años" localSheetId="2">'Oferta Vinculante'!$J$12</definedName>
    <definedName name="i.Tasa_Ordinaria" localSheetId="2">'Oferta Vinculante'!$J$11</definedName>
    <definedName name="i.Valor_Garantía" localSheetId="2">'Oferta Vinculante'!$J$9</definedName>
    <definedName name="IAD" localSheetId="2">'[1]Crédito Banorte'!$O$64</definedName>
    <definedName name="IAD" localSheetId="1">'[1]Crédito Banorte'!$O$64</definedName>
    <definedName name="IAD">#REF!</definedName>
    <definedName name="IMB" localSheetId="2">'[1]Crédito Banorte'!$D$2</definedName>
    <definedName name="IMB" localSheetId="1">'[1]Crédito Banorte'!$D$2</definedName>
    <definedName name="IMB">#REF!</definedName>
    <definedName name="IncDiez" localSheetId="2">'[1]Crédito Banorte'!$O$62</definedName>
    <definedName name="IncDiez" localSheetId="1">'[1]Crédito Banorte'!$O$62</definedName>
    <definedName name="IncDiez">#REF!</definedName>
    <definedName name="Incremento_avalúo_COFINAVIT" localSheetId="2">'[1]Crédito Banorte'!$D$50</definedName>
    <definedName name="Incremento_avalúo_COFINAVIT" localSheetId="1">'[1]Crédito Banorte'!$D$50</definedName>
    <definedName name="Incremento_avalúo_COFINAVIT">#REF!</definedName>
    <definedName name="Incremento_Comisión_por_Aut" localSheetId="2">#REF!</definedName>
    <definedName name="Incremento_Comisión_por_Aut" localSheetId="1">#REF!</definedName>
    <definedName name="Incremento_Comisión_por_Aut">#REF!</definedName>
    <definedName name="Incremento_Comisión_por_Aut_Nota5_Accesible" localSheetId="2">'[1]Pago Creciente'!$B$10</definedName>
    <definedName name="Incremento_Comisión_por_Aut_Nota5_Accesible" localSheetId="1">'[1]Pago Creciente'!$B$10</definedName>
    <definedName name="Incremento_Comisión_por_Aut_Nota5_Accesible">#REF!</definedName>
    <definedName name="Incremento_Comisión_por_Aut_Nota5_Accesible_Plus" localSheetId="2">'[1]Pago Creciente'!$C$10</definedName>
    <definedName name="Incremento_Comisión_por_Aut_Nota5_Accesible_Plus" localSheetId="1">'[1]Pago Creciente'!$C$10</definedName>
    <definedName name="Incremento_Comisión_por_Aut_Nota5_Accesible_Plus">#REF!</definedName>
    <definedName name="Incremento_Comisión_por_Aut_Nota5_Mas_por_Menos" localSheetId="2">'[1]Pago Creciente'!$D$10</definedName>
    <definedName name="Incremento_Comisión_por_Aut_Nota5_Mas_por_Menos" localSheetId="1">'[1]Pago Creciente'!$D$10</definedName>
    <definedName name="Incremento_Comisión_por_Aut_Nota5_Mas_por_Menos">#REF!</definedName>
    <definedName name="Incremento_en_pago" localSheetId="2">#REF!</definedName>
    <definedName name="Incremento_en_pago" localSheetId="1">#REF!</definedName>
    <definedName name="Incremento_en_pago">#REF!</definedName>
    <definedName name="Incremento_pago_15" localSheetId="2">'[1]Pago Creciente'!$A$7</definedName>
    <definedName name="Incremento_pago_15" localSheetId="1">'[1]Pago Creciente'!$A$7</definedName>
    <definedName name="Incremento_pago_15">#REF!</definedName>
    <definedName name="Incremento_pago_15_Accesible" localSheetId="2">'[1]Pago Creciente'!$B$7</definedName>
    <definedName name="Incremento_pago_15_Accesible" localSheetId="1">'[1]Pago Creciente'!$B$7</definedName>
    <definedName name="Incremento_pago_15_Accesible">#REF!</definedName>
    <definedName name="Incremento_pago_15_Accesible_Plus" localSheetId="2">'[1]Pago Creciente'!$C$7</definedName>
    <definedName name="Incremento_pago_15_Accesible_Plus" localSheetId="1">'[1]Pago Creciente'!$C$7</definedName>
    <definedName name="Incremento_pago_15_Accesible_Plus">#REF!</definedName>
    <definedName name="Incremento_pago_15_Mas_por_Menos" localSheetId="2">'[1]Pago Creciente'!$D$7</definedName>
    <definedName name="Incremento_pago_15_Mas_por_Menos" localSheetId="1">'[1]Pago Creciente'!$D$7</definedName>
    <definedName name="Incremento_pago_15_Mas_por_Menos">#REF!</definedName>
    <definedName name="Incremento_pago_20" localSheetId="2">'[1]Pago Creciente'!$A$8</definedName>
    <definedName name="Incremento_pago_20" localSheetId="1">'[1]Pago Creciente'!$A$8</definedName>
    <definedName name="Incremento_pago_20">#REF!</definedName>
    <definedName name="Incremento_pago_20_Accesible" localSheetId="2">'[1]Pago Creciente'!$B$8</definedName>
    <definedName name="Incremento_pago_20_Accesible" localSheetId="1">'[1]Pago Creciente'!$B$8</definedName>
    <definedName name="Incremento_pago_20_Accesible">#REF!</definedName>
    <definedName name="Incremento_pago_20_Accesible_Plus" localSheetId="2">'[1]Pago Creciente'!$C$8</definedName>
    <definedName name="Incremento_pago_20_Accesible_Plus" localSheetId="1">'[1]Pago Creciente'!$C$8</definedName>
    <definedName name="Incremento_pago_20_Accesible_Plus">#REF!</definedName>
    <definedName name="Incremento_pago_20_Mas_por_Menos" localSheetId="2">'[1]Pago Creciente'!$D$8</definedName>
    <definedName name="Incremento_pago_20_Mas_por_Menos" localSheetId="1">'[1]Pago Creciente'!$D$8</definedName>
    <definedName name="Incremento_pago_20_Mas_por_Menos">#REF!</definedName>
    <definedName name="Índice_Destino_Ajustado" localSheetId="2">'[1]Pagos Anticipados'!$D$34</definedName>
    <definedName name="Índice_Destino_Ajustado" localSheetId="1">'[1]Pagos Anticipados'!$D$34</definedName>
    <definedName name="Índice_Destino_Ajustado">#REF!</definedName>
    <definedName name="Índice_Esquema_Especial" localSheetId="2">'[1]Crédito Banorte'!$Y$46</definedName>
    <definedName name="Índice_Esquema_Especial" localSheetId="1">'[1]Crédito Banorte'!$Y$46</definedName>
    <definedName name="Índice_Esquema_Especial">#REF!</definedName>
    <definedName name="Índice_Producto" localSheetId="2">'[1]Crédito Banorte'!$AH$4</definedName>
    <definedName name="Índice_Producto" localSheetId="1">'[1]Crédito Banorte'!$AH$4</definedName>
    <definedName name="Índice_Producto">#REF!</definedName>
    <definedName name="Individual" localSheetId="2">'[1]Tipo de Crédito'!$A$3</definedName>
    <definedName name="Individual" localSheetId="1">'[1]Tipo de Crédito'!$A$3</definedName>
    <definedName name="Individual">#REF!</definedName>
    <definedName name="INFONAVIT" localSheetId="2">[1]DondeCotiza!$B$8</definedName>
    <definedName name="INFONAVIT" localSheetId="1">[1]DondeCotiza!$B$8</definedName>
    <definedName name="INFONAVIT">#REF!</definedName>
    <definedName name="Ingreso_Apoyo" localSheetId="2">'[1]PASO6 APOYO'!$F$9</definedName>
    <definedName name="Ingreso_Apoyo" localSheetId="1">'[1]PASO6 APOYO'!$F$9</definedName>
    <definedName name="Ingreso_Apoyo">#REF!</definedName>
    <definedName name="Ingreso_Cónyuge_Cofinavit" localSheetId="2">'[1]PASO6 COFINAVIT'!$G$22</definedName>
    <definedName name="Ingreso_Cónyuge_Cofinavit" localSheetId="1">'[1]PASO6 COFINAVIT'!$G$22</definedName>
    <definedName name="Ingreso_Cónyuge_Cofinavit">#REF!</definedName>
    <definedName name="Ingreso_Cónyuge_Fovissste" localSheetId="2">'[1]PASO6 FOVISSSTE'!$G$22</definedName>
    <definedName name="Ingreso_Cónyuge_Fovissste" localSheetId="1">'[1]PASO6 FOVISSSTE'!$G$22</definedName>
    <definedName name="Ingreso_Cónyuge_Fovissste">#REF!</definedName>
    <definedName name="Ingreso_Mínimo" localSheetId="2">'[1]Crédito Banorte'!$N$9</definedName>
    <definedName name="Ingreso_Mínimo" localSheetId="1">'[1]Crédito Banorte'!$N$9</definedName>
    <definedName name="Ingreso_Mínimo">#REF!</definedName>
    <definedName name="Ingreso_Titular_Cofinavit" localSheetId="2">'[1]PASO6 COFINAVIT'!$E$22</definedName>
    <definedName name="Ingreso_Titular_Cofinavit" localSheetId="1">'[1]PASO6 COFINAVIT'!$E$22</definedName>
    <definedName name="Ingreso_Titular_Cofinavit">#REF!</definedName>
    <definedName name="Ingreso_Titular_Fovissste" localSheetId="2">'[1]PASO6 FOVISSSTE'!$E$22</definedName>
    <definedName name="Ingreso_Titular_Fovissste" localSheetId="1">'[1]PASO6 FOVISSSTE'!$E$22</definedName>
    <definedName name="Ingreso_Titular_Fovissste">#REF!</definedName>
    <definedName name="Ingreso_Tradicional" localSheetId="2">'[1]PASO7 TRAD'!$F$12</definedName>
    <definedName name="Ingreso_Tradicional" localSheetId="1">'[1]PASO7 TRAD'!$F$12</definedName>
    <definedName name="Ingreso_Tradicional">#REF!</definedName>
    <definedName name="Ingresos_Adicionales_Cofinavit" localSheetId="2">'[1]Cofinavit Ingresos Adicionales'!$B$1</definedName>
    <definedName name="Ingresos_Adicionales_Cofinavit" localSheetId="1">'[1]Cofinavit Ingresos Adicionales'!$B$1</definedName>
    <definedName name="Ingresos_Adicionales_Cofinavit">#REF!</definedName>
    <definedName name="Inicio_Aportaciones" localSheetId="2">#REF!</definedName>
    <definedName name="Inicio_Aportaciones" localSheetId="1">#REF!</definedName>
    <definedName name="Inicio_Aportaciones">#REF!</definedName>
    <definedName name="InstitutoVivienda.Etiqueta_Unidad_Mensual" localSheetId="2">[1]DondeCotiza!$G$3</definedName>
    <definedName name="InstitutoVivienda.Etiqueta_Unidad_Mensual" localSheetId="1">[1]DondeCotiza!$G$3</definedName>
    <definedName name="InstitutoVivienda.Etiqueta_Unidad_Mensual">#REF!</definedName>
    <definedName name="InstitutoVivienda.Valor_Base" localSheetId="2">[1]DondeCotiza!$F$3</definedName>
    <definedName name="InstitutoVivienda.Valor_Base" localSheetId="1">[1]DondeCotiza!$F$3</definedName>
    <definedName name="InstitutoVivienda.Valor_Base">#REF!</definedName>
    <definedName name="Intervinientes" localSheetId="2">[5]Adm!$U$4:$U$7</definedName>
    <definedName name="Intervinientes" localSheetId="1">[5]Adm!$U$4:$U$7</definedName>
    <definedName name="Intervinientes">#REF!</definedName>
    <definedName name="IVA" localSheetId="2">[1]IVA!$A$4</definedName>
    <definedName name="IVA" localSheetId="1">[1]IVA!$A$4</definedName>
    <definedName name="IVA">#REF!</definedName>
    <definedName name="IVA_Comisiones" localSheetId="2">[1]IVA!$B$11</definedName>
    <definedName name="IVA_Comisiones" localSheetId="1">[1]IVA!$B$11</definedName>
    <definedName name="IVA_Comisiones">#REF!</definedName>
    <definedName name="IVA_Intereses" localSheetId="2">[1]IVA!$B$10</definedName>
    <definedName name="IVA_Intereses" localSheetId="1">[1]IVA!$B$10</definedName>
    <definedName name="IVA_Intereses">#REF!</definedName>
    <definedName name="IVA_por_Destino_Condicional" localSheetId="2">[1]IVA!$E$28</definedName>
    <definedName name="IVA_por_Destino_Condicional" localSheetId="1">[1]IVA!$E$28</definedName>
    <definedName name="IVA_por_Destino_Condicional">#REF!</definedName>
    <definedName name="IVA_por_Destino_Directo" localSheetId="2">[1]IVA!$B$28</definedName>
    <definedName name="IVA_por_Destino_Directo" localSheetId="1">[1]IVA!$B$28</definedName>
    <definedName name="IVA_por_Destino_Directo">#REF!</definedName>
    <definedName name="ixProducto" localSheetId="2">[1]Productos!$B$4</definedName>
    <definedName name="ixProducto" localSheetId="1">[1]Productos!$B$4</definedName>
    <definedName name="ixProducto">#REF!</definedName>
    <definedName name="L.Comisión_por_Investigación" localSheetId="2">#REF!</definedName>
    <definedName name="L.Comisión_por_Investigación" localSheetId="1">#REF!</definedName>
    <definedName name="L.Comisión_por_Investigación">#REF!</definedName>
    <definedName name="L.Porcentaje_Apertura" localSheetId="2">#REF!</definedName>
    <definedName name="L.Porcentaje_Apertura" localSheetId="1">#REF!</definedName>
    <definedName name="L.Porcentaje_Apertura">#REF!</definedName>
    <definedName name="L.Porcentaje_Financiar_Gastos_Iniciales" localSheetId="2">#REF!</definedName>
    <definedName name="L.Porcentaje_Financiar_Gastos_Iniciales" localSheetId="1">#REF!</definedName>
    <definedName name="L.Porcentaje_Financiar_Gastos_Iniciales">#REF!</definedName>
    <definedName name="Layout.Mes_Dcto_Tasa" localSheetId="2">#REF!</definedName>
    <definedName name="Layout.Mes_Dcto_Tasa" localSheetId="1">#REF!</definedName>
    <definedName name="Layout.Mes_Dcto_Tasa">#REF!</definedName>
    <definedName name="Layout_Completo" localSheetId="2">#REF!</definedName>
    <definedName name="Layout_Completo" localSheetId="1">#REF!</definedName>
    <definedName name="Layout_Completo">#REF!</definedName>
    <definedName name="Leyenda_Avalúo" localSheetId="2">[1]COMISIÓN_AVALÚO!$I$4</definedName>
    <definedName name="Leyenda_Avalúo" localSheetId="1">[1]COMISIÓN_AVALÚO!$I$4</definedName>
    <definedName name="Leyenda_Avalúo">#REF!</definedName>
    <definedName name="Leyenda_Comisión_por_Apertura_1" localSheetId="2">'[1]Ajustes Subrogación'!$B$46</definedName>
    <definedName name="Leyenda_Comisión_por_Apertura_1" localSheetId="1">'[1]Ajustes Subrogación'!$B$46</definedName>
    <definedName name="Leyenda_Comisión_por_Apertura_1">#REF!</definedName>
    <definedName name="Leyenda_Comisión_por_Apertura_2" localSheetId="2">'[1]Ajustes Subrogación'!$B$55</definedName>
    <definedName name="Leyenda_Comisión_por_Apertura_2" localSheetId="1">'[1]Ajustes Subrogación'!$B$55</definedName>
    <definedName name="Leyenda_Comisión_por_Apertura_2">#REF!</definedName>
    <definedName name="Leyenda_Comisión_por_Apertura_3" localSheetId="2">'[1]Ajustes Subrogación'!$B$58</definedName>
    <definedName name="Leyenda_Comisión_por_Apertura_3" localSheetId="1">'[1]Ajustes Subrogación'!$B$58</definedName>
    <definedName name="Leyenda_Comisión_por_Apertura_3">#REF!</definedName>
    <definedName name="Leyenda_Datos_Crédito_Adicional_1" localSheetId="2">[1]Destinos!$C$21</definedName>
    <definedName name="Leyenda_Datos_Crédito_Adicional_1" localSheetId="1">[1]Destinos!$C$21</definedName>
    <definedName name="Leyenda_Datos_Crédito_Adicional_1">#REF!</definedName>
    <definedName name="Leyenda_Datos_Crédito_Adicional_2" localSheetId="2">[1]Destinos!$C$22</definedName>
    <definedName name="Leyenda_Datos_Crédito_Adicional_2" localSheetId="1">[1]Destinos!$C$22</definedName>
    <definedName name="Leyenda_Datos_Crédito_Adicional_2">#REF!</definedName>
    <definedName name="Leyenda_Final_Daños" localSheetId="2">[1]Tipo_Seguro!$F$43</definedName>
    <definedName name="Leyenda_Final_Daños" localSheetId="1">[1]Tipo_Seguro!$F$43</definedName>
    <definedName name="Leyenda_Final_Daños">#REF!</definedName>
    <definedName name="Leyenda_Final_Vida" localSheetId="2">[1]Tipo_Seguro!$F$42</definedName>
    <definedName name="Leyenda_Final_Vida" localSheetId="1">[1]Tipo_Seguro!$F$42</definedName>
    <definedName name="Leyenda_Final_Vida">#REF!</definedName>
    <definedName name="LeyendaAsistencia" localSheetId="2">[1]Tipo_Seguro!$F$35</definedName>
    <definedName name="LeyendaAsistencia" localSheetId="1">[1]Tipo_Seguro!$F$35</definedName>
    <definedName name="LeyendaAsistencia">#REF!</definedName>
    <definedName name="LeyendaMomentos" localSheetId="2">[1]Tipo_Seguro!$F$34</definedName>
    <definedName name="LeyendaMomentos" localSheetId="1">[1]Tipo_Seguro!$F$34</definedName>
    <definedName name="LeyendaMomentos">#REF!</definedName>
    <definedName name="LeyendaPaqDaños" localSheetId="2">[1]Tipo_Seguro!$F$37</definedName>
    <definedName name="LeyendaPaqDaños" localSheetId="1">[1]Tipo_Seguro!$F$37</definedName>
    <definedName name="LeyendaPaqDaños">#REF!</definedName>
    <definedName name="LeyendaPaqVida" localSheetId="2">[1]Tipo_Seguro!$F$36</definedName>
    <definedName name="LeyendaPaqVida" localSheetId="1">[1]Tipo_Seguro!$F$36</definedName>
    <definedName name="LeyendaPaqVida">#REF!</definedName>
    <definedName name="LeyendaRecursosExcedidosCofinavit" localSheetId="2">#REF!</definedName>
    <definedName name="LeyendaRecursosExcedidosCofinavit" localSheetId="1">#REF!</definedName>
    <definedName name="LeyendaRecursosExcedidosCofinavit">#REF!</definedName>
    <definedName name="LIC" localSheetId="2">'[1]Crédito Banorte'!$O$66</definedName>
    <definedName name="LIC" localSheetId="1">'[1]Crédito Banorte'!$O$66</definedName>
    <definedName name="LIC">#REF!</definedName>
    <definedName name="Liquidez" localSheetId="2">'[3]Tabla Parámetros'!$C$52</definedName>
    <definedName name="Liquidez" localSheetId="1">'[4]Tabla Parámetros'!$C$52</definedName>
    <definedName name="Liquidez">#REF!</definedName>
    <definedName name="LSAOp" localSheetId="2">'[1]Crédito Banorte'!$O$80</definedName>
    <definedName name="LSAOp" localSheetId="1">'[1]Crédito Banorte'!$O$80</definedName>
    <definedName name="LSAOp">#REF!</definedName>
    <definedName name="LSC" localSheetId="2">'[1]Crédito Banorte'!$O$68</definedName>
    <definedName name="LSC" localSheetId="1">'[1]Crédito Banorte'!$O$68</definedName>
    <definedName name="LSC">#REF!</definedName>
    <definedName name="Mancomunado" localSheetId="2">'[1]Tipo de Crédito'!$D$2</definedName>
    <definedName name="Mancomunado" localSheetId="1">'[1]Tipo de Crédito'!$D$2</definedName>
    <definedName name="Mancomunado">#REF!</definedName>
    <definedName name="Matriz_Capital" localSheetId="2">'[1]Tabla Tradicional'!$S$4:$U$363</definedName>
    <definedName name="Matriz_Capital" localSheetId="1">'[1]Tabla Tradicional'!$S$4:$U$363</definedName>
    <definedName name="Matriz_Capital">#REF!</definedName>
    <definedName name="Matriz_Capital_CAT" localSheetId="2">'[1]CAT Tabla Tradicional'!$U$10:$W$369</definedName>
    <definedName name="Matriz_Capital_CAT" localSheetId="1">'[1]CAT Tabla Tradicional'!$U$10:$W$369</definedName>
    <definedName name="Matriz_Capital_CAT">#REF!</definedName>
    <definedName name="Matriz_Descuentos" localSheetId="2">[1]Validaciones!$A$25:$C$27</definedName>
    <definedName name="Matriz_Descuentos" localSheetId="1">[1]Validaciones!$A$25:$C$27</definedName>
    <definedName name="Matriz_Descuentos">#REF!</definedName>
    <definedName name="Máximo_Crédito_Fovissste" localSheetId="2">[1]Validaciones!$F$41</definedName>
    <definedName name="Máximo_Crédito_Fovissste" localSheetId="1">[1]Validaciones!$F$41</definedName>
    <definedName name="Máximo_Crédito_Fovissste">#REF!</definedName>
    <definedName name="Máximo_Crédito_Infonavit_Cónyuge" localSheetId="2">[1]Validaciones!$D$22</definedName>
    <definedName name="Máximo_Crédito_Infonavit_Cónyuge" localSheetId="1">[1]Validaciones!$D$22</definedName>
    <definedName name="Máximo_Crédito_Infonavit_Cónyuge">#REF!</definedName>
    <definedName name="Máximo_crédito_infonavit_ingresos_adicionales_conyuge" localSheetId="2">[1]Validaciones!$J$19</definedName>
    <definedName name="Máximo_crédito_infonavit_ingresos_adicionales_conyuge" localSheetId="1">[1]Validaciones!$J$19</definedName>
    <definedName name="Máximo_crédito_infonavit_ingresos_adicionales_conyuge">#REF!</definedName>
    <definedName name="Máximo_crédito_infonavit_ingresos_adicionales_titular" localSheetId="2">[1]Validaciones!$I$19</definedName>
    <definedName name="Máximo_crédito_infonavit_ingresos_adicionales_titular" localSheetId="1">[1]Validaciones!$I$19</definedName>
    <definedName name="Máximo_crédito_infonavit_ingresos_adicionales_titular">#REF!</definedName>
    <definedName name="Máximo_Crédito_Infonavit_Titular" localSheetId="2">[1]Validaciones!$C$22</definedName>
    <definedName name="Máximo_Crédito_Infonavit_Titular" localSheetId="1">[1]Validaciones!$C$22</definedName>
    <definedName name="Máximo_Crédito_Infonavit_Titular">#REF!</definedName>
    <definedName name="Mejora_más_Remodelación" localSheetId="2">'[3]Tabla Parámetros'!$C$39</definedName>
    <definedName name="Mejora_más_Remodelación" localSheetId="1">'[4]Tabla Parámetros'!$C$39</definedName>
    <definedName name="Mejora_más_Remodelación">#REF!</definedName>
    <definedName name="Mes_Cotización" localSheetId="2">'[1]Fecha Pago'!$C$10</definedName>
    <definedName name="Mes_Cotización" localSheetId="1">'[1]Fecha Pago'!$C$10</definedName>
    <definedName name="Mes_Cotización">#REF!</definedName>
    <definedName name="Mes_Descto_en_Tasa" localSheetId="2">#REF!</definedName>
    <definedName name="Mes_Descto_en_Tasa" localSheetId="1">#REF!</definedName>
    <definedName name="Mes_Descto_en_Tasa">#REF!</definedName>
    <definedName name="Mes_Incremento_Comisión" localSheetId="2">#REF!</definedName>
    <definedName name="Mes_Incremento_Comisión" localSheetId="1">#REF!</definedName>
    <definedName name="Mes_Incremento_Comisión">#REF!</definedName>
    <definedName name="Mes_Incremento_Pago" localSheetId="2">#REF!</definedName>
    <definedName name="Mes_Incremento_Pago" localSheetId="1">#REF!</definedName>
    <definedName name="Mes_Incremento_Pago">#REF!</definedName>
    <definedName name="Mes_Primer_Pago" localSheetId="2">'[1]Fecha Pago'!$B$7</definedName>
    <definedName name="Mes_Primer_Pago" localSheetId="1">'[1]Fecha Pago'!$B$7</definedName>
    <definedName name="Mes_Primer_Pago">#REF!</definedName>
    <definedName name="Meses_de_más" localSheetId="2">[1]Plazos!$J$19</definedName>
    <definedName name="Meses_de_más" localSheetId="1">[1]Plazos!$J$19</definedName>
    <definedName name="Meses_de_más">#REF!</definedName>
    <definedName name="Meses_Devolución" localSheetId="2">#REF!</definedName>
    <definedName name="Meses_Devolución" localSheetId="1">#REF!</definedName>
    <definedName name="Meses_Devolución">#REF!</definedName>
    <definedName name="Meses_gracia_de_capital" localSheetId="2">#REF!</definedName>
    <definedName name="Meses_gracia_de_capital" localSheetId="1">#REF!</definedName>
    <definedName name="Meses_gracia_de_capital">#REF!</definedName>
    <definedName name="Meses_Gratis_Seguro_Daños" localSheetId="2">#REF!</definedName>
    <definedName name="Meses_Gratis_Seguro_Daños" localSheetId="1">#REF!</definedName>
    <definedName name="Meses_Gratis_Seguro_Daños">#REF!</definedName>
    <definedName name="Meses_Gratis_Seguro_Desempleo" localSheetId="2">#REF!</definedName>
    <definedName name="Meses_Gratis_Seguro_Desempleo" localSheetId="1">#REF!</definedName>
    <definedName name="Meses_Gratis_Seguro_Desempleo">#REF!</definedName>
    <definedName name="Meses_Gratis_Seguro_Vida" localSheetId="2">#REF!</definedName>
    <definedName name="Meses_Gratis_Seguro_Vida" localSheetId="1">#REF!</definedName>
    <definedName name="Meses_Gratis_Seguro_Vida">#REF!</definedName>
    <definedName name="Millón_de_UDIS" localSheetId="2">'[1]UDIS y SM'!$B$15</definedName>
    <definedName name="Millón_de_UDIS" localSheetId="1">'[1]UDIS y SM'!$B$15</definedName>
    <definedName name="Millón_de_UDIS">#REF!</definedName>
    <definedName name="Monto_CAper_Financiar" localSheetId="2">'[1]Gastos Iniciales'!$G$21</definedName>
    <definedName name="Monto_CAper_Financiar" localSheetId="1">'[1]Gastos Iniciales'!$G$21</definedName>
    <definedName name="Monto_CAper_Financiar">#REF!</definedName>
    <definedName name="Monto_Comisión_Avalúo" localSheetId="2">#REF!</definedName>
    <definedName name="Monto_Comisión_Avalúo" localSheetId="1">#REF!</definedName>
    <definedName name="Monto_Comisión_Avalúo">#REF!</definedName>
    <definedName name="Monto_Crédito_Principal" localSheetId="2">'[1]Salida Cotización'!$D$3</definedName>
    <definedName name="Monto_Crédito_Principal" localSheetId="1">'[1]Salida Cotización'!$D$3</definedName>
    <definedName name="Monto_Crédito_Principal">#REF!</definedName>
    <definedName name="Monto_de_Recursos_Extra" localSheetId="2">'[1]Crédito Banorte'!$O$91</definedName>
    <definedName name="Monto_de_Recursos_Extra" localSheetId="1">'[1]Crédito Banorte'!$O$91</definedName>
    <definedName name="Monto_de_Recursos_Extra">#REF!</definedName>
    <definedName name="Monto_Devolución" localSheetId="2">[1]Cotización!$G$88</definedName>
    <definedName name="Monto_Devolución" localSheetId="1">[1]Cotización!$G$88</definedName>
    <definedName name="Monto_Devolución">#REF!</definedName>
    <definedName name="Monto_Inicial_Disponible_Cónyuge" localSheetId="2">[1]Validaciones!$D$6</definedName>
    <definedName name="Monto_Inicial_Disponible_Cónyuge" localSheetId="1">[1]Validaciones!$D$6</definedName>
    <definedName name="Monto_Inicial_Disponible_Cónyuge">#REF!</definedName>
    <definedName name="Monto_Inicial_Disponible_Titular" localSheetId="2">[1]Validaciones!$C$6</definedName>
    <definedName name="Monto_Inicial_Disponible_Titular" localSheetId="1">[1]Validaciones!$C$6</definedName>
    <definedName name="Monto_Inicial_Disponible_Titular">#REF!</definedName>
    <definedName name="Monto_para_seguro_daños" localSheetId="2">'[1]Pass-Throughs'!$B$6</definedName>
    <definedName name="Monto_para_seguro_daños" localSheetId="1">'[1]Pass-Throughs'!$B$6</definedName>
    <definedName name="Monto_para_seguro_daños">#REF!</definedName>
    <definedName name="Monto_para_validar_aforo_Fovissste" localSheetId="2">#REF!</definedName>
    <definedName name="Monto_para_validar_aforo_Fovissste" localSheetId="1">#REF!</definedName>
    <definedName name="Monto_para_validar_aforo_Fovissste">#REF!</definedName>
    <definedName name="Monto_Remanente_Cónyuge" localSheetId="2">'[1]PASO6 COFINAVIT'!$G$26</definedName>
    <definedName name="Monto_Remanente_Cónyuge" localSheetId="1">'[1]PASO6 COFINAVIT'!$G$26</definedName>
    <definedName name="Monto_Remanente_Cónyuge">#REF!</definedName>
    <definedName name="Monto_Remanente_Titular" localSheetId="2">'[1]PASO6 COFINAVIT'!$E$26</definedName>
    <definedName name="Monto_Remanente_Titular" localSheetId="1">'[1]PASO6 COFINAVIT'!$E$26</definedName>
    <definedName name="Monto_Remanente_Titular">#REF!</definedName>
    <definedName name="Monto_Total_de_Crédito" localSheetId="2">'[1]Salida Cotización'!$D$8</definedName>
    <definedName name="Monto_Total_de_Crédito" localSheetId="1">'[1]Salida Cotización'!$D$8</definedName>
    <definedName name="Monto_Total_de_Crédito">#REF!</definedName>
    <definedName name="Mujer_Banorte" localSheetId="2">'[1]Pass-Throughs'!$B$12</definedName>
    <definedName name="Mujer_Banorte" localSheetId="1">'[1]Pass-Throughs'!$B$12</definedName>
    <definedName name="Mujer_Banorte">#REF!</definedName>
    <definedName name="Mujer_Banorte.Cuota" localSheetId="2">'[1]Pass-Throughs'!$B$15</definedName>
    <definedName name="Mujer_Banorte.Cuota" localSheetId="1">'[1]Pass-Throughs'!$B$15</definedName>
    <definedName name="Mujer_Banorte.Cuota">#REF!</definedName>
    <definedName name="Mujer_Banorte.Porcentaje" localSheetId="2">'[1]Pass-Throughs'!$B$13</definedName>
    <definedName name="Mujer_Banorte.Porcentaje" localSheetId="1">'[1]Pass-Throughs'!$B$13</definedName>
    <definedName name="Mujer_Banorte.Porcentaje">#REF!</definedName>
    <definedName name="Mujer_Banorte.Tope" localSheetId="2">'[1]Pass-Throughs'!$B$14</definedName>
    <definedName name="Mujer_Banorte.Tope" localSheetId="1">'[1]Pass-Throughs'!$B$14</definedName>
    <definedName name="Mujer_Banorte.Tope">#REF!</definedName>
    <definedName name="Multitasa" localSheetId="2">[1]PasoTasas.Helper!$K$5</definedName>
    <definedName name="Multitasa" localSheetId="1">[1]PasoTasas.Helper!$K$5</definedName>
    <definedName name="Multitasa">#REF!</definedName>
    <definedName name="Neto_Gastos_Originación" localSheetId="2">'[1]Crédito Banorte'!$O$104</definedName>
    <definedName name="Neto_Gastos_Originación" localSheetId="1">'[1]Crédito Banorte'!$O$104</definedName>
    <definedName name="Neto_Gastos_Originación">#REF!</definedName>
    <definedName name="Ninguno" localSheetId="2">[1]DondeCotiza!$B$7</definedName>
    <definedName name="Ninguno" localSheetId="1">[1]DondeCotiza!$B$7</definedName>
    <definedName name="Ninguno">#REF!</definedName>
    <definedName name="NN.Catalogo" localSheetId="2">[1]NotasNumeradasOV!$A$5:$N$12</definedName>
    <definedName name="NN.Catalogo" localSheetId="1">[1]NotasNumeradasOV!$A$5:$N$12</definedName>
    <definedName name="NN.Catalogo">#REF!</definedName>
    <definedName name="No" localSheetId="2">[1]IVA!$F$25</definedName>
    <definedName name="No" localSheetId="1">[1]IVA!$F$25</definedName>
    <definedName name="No">#REF!</definedName>
    <definedName name="No_Frontera" localSheetId="2">[1]IVA!$A$5</definedName>
    <definedName name="No_Frontera" localSheetId="1">[1]IVA!$A$5</definedName>
    <definedName name="No_Frontera">#REF!</definedName>
    <definedName name="Nombre_Cliente" localSheetId="2">'Oferta Vinculante'!$M$10</definedName>
    <definedName name="Nombre_Cotiza_En" localSheetId="2">[1]DondeCotiza!$C$3</definedName>
    <definedName name="Nombre_Cotiza_En" localSheetId="1">[1]DondeCotiza!$C$3</definedName>
    <definedName name="Nombre_Cotiza_En">#REF!</definedName>
    <definedName name="Nombre_Destino" localSheetId="2">[1]Destinos!$B$4</definedName>
    <definedName name="Nombre_Destino" localSheetId="1">[1]Destinos!$B$4</definedName>
    <definedName name="Nombre_Destino">#REF!</definedName>
    <definedName name="Nombre_Esquema_Especial" localSheetId="2">'[1]Esquema Especial'!$C$7</definedName>
    <definedName name="Nombre_Esquema_Especial" localSheetId="1">'[1]Esquema Especial'!$C$7</definedName>
    <definedName name="Nombre_Esquema_Especial">#REF!</definedName>
    <definedName name="Nombre_Estado" localSheetId="2">'[1]GASNOT GLUE'!$B$16</definedName>
    <definedName name="Nombre_Estado" localSheetId="1">'[1]GASNOT GLUE'!$B$16</definedName>
    <definedName name="Nombre_Estado">#REF!</definedName>
    <definedName name="Nombre_IVA" localSheetId="2">[1]IVA!$B$9</definedName>
    <definedName name="Nombre_IVA" localSheetId="1">[1]IVA!$B$9</definedName>
    <definedName name="Nombre_IVA">#REF!</definedName>
    <definedName name="Nombre_Opción_Pago_Anticipado" localSheetId="2">'[1]Pagos Anticipados'!$B$1</definedName>
    <definedName name="Nombre_Opción_Pago_Anticipado" localSheetId="1">'[1]Pagos Anticipados'!$B$1</definedName>
    <definedName name="Nombre_Opción_Pago_Anticipado">#REF!</definedName>
    <definedName name="Nombre_Producto" localSheetId="2">[1]Productos!$C$4</definedName>
    <definedName name="Nombre_Producto" localSheetId="1">[1]Productos!$C$4</definedName>
    <definedName name="Nombre_Producto">#REF!</definedName>
    <definedName name="Nota_1" localSheetId="2">'[1]Salida Cotización'!$F$3</definedName>
    <definedName name="Nota_1" localSheetId="1">'[1]Salida Cotización'!$F$3</definedName>
    <definedName name="Nota_1">#REF!</definedName>
    <definedName name="Nota_1_Tabla" localSheetId="2">'[1]Salida Cotización'!$O$3</definedName>
    <definedName name="Nota_1_Tabla" localSheetId="1">'[1]Salida Cotización'!$O$3</definedName>
    <definedName name="Nota_1_Tabla">#REF!</definedName>
    <definedName name="Notariales.Monto" localSheetId="2">'[1]GASNOT GLUE'!$B$14</definedName>
    <definedName name="Notariales.Monto" localSheetId="1">'[1]GASNOT GLUE'!$B$14</definedName>
    <definedName name="Notariales.Monto">#REF!</definedName>
    <definedName name="Notariales.Nomenclatura_General" localSheetId="2">'[1]GASNOT GLUE'!$B$19</definedName>
    <definedName name="Notariales.Nomenclatura_General" localSheetId="1">'[1]GASNOT GLUE'!$B$19</definedName>
    <definedName name="Notariales.Nomenclatura_General">#REF!</definedName>
    <definedName name="Notariales.Nomenclatura_OV" localSheetId="2">'[1]GASNOT GLUE'!$B$20</definedName>
    <definedName name="Notariales.Nomenclatura_OV" localSheetId="1">'[1]GASNOT GLUE'!$B$20</definedName>
    <definedName name="Notariales.Nomenclatura_OV">#REF!</definedName>
    <definedName name="Notariales.Nota" localSheetId="2">'[1]GASNOT GLUE'!$B$17</definedName>
    <definedName name="Notariales.Nota" localSheetId="1">'[1]GASNOT GLUE'!$B$17</definedName>
    <definedName name="Notariales.Nota">#REF!</definedName>
    <definedName name="Notariales.Nota_Desglosada" localSheetId="2">'[1]GASNOT GLUE'!$B$18</definedName>
    <definedName name="Notariales.Nota_Desglosada" localSheetId="1">'[1]GASNOT GLUE'!$B$18</definedName>
    <definedName name="Notariales.Nota_Desglosada">#REF!</definedName>
    <definedName name="Notariales.Nota_Pie_OV" localSheetId="2">'[1]GASNOT GLUE'!$B$22</definedName>
    <definedName name="Notariales.Nota_Pie_OV" localSheetId="1">'[1]GASNOT GLUE'!$B$22</definedName>
    <definedName name="Notariales.Nota_Pie_OV">#REF!</definedName>
    <definedName name="Notariales.Nota_Pie_OV_Visible?" localSheetId="2">'[1]GASNOT GLUE'!$B$21</definedName>
    <definedName name="Notariales.Nota_Pie_OV_Visible?" localSheetId="1">'[1]GASNOT GLUE'!$B$21</definedName>
    <definedName name="Notariales.Nota_Pie_OV_Visible?">#REF!</definedName>
    <definedName name="Notariales.Porcentaje" localSheetId="2">'[1]GASNOT GLUE'!$B$15</definedName>
    <definedName name="Notariales.Porcentaje" localSheetId="1">'[1]GASNOT GLUE'!$B$15</definedName>
    <definedName name="Notariales.Porcentaje">#REF!</definedName>
    <definedName name="Número_anualidades" localSheetId="2">#REF!</definedName>
    <definedName name="Número_anualidades" localSheetId="1">#REF!</definedName>
    <definedName name="Número_anualidades">#REF!</definedName>
    <definedName name="Número_Ministraciones_Layout" localSheetId="2">#REF!</definedName>
    <definedName name="Número_Ministraciones_Layout" localSheetId="1">#REF!</definedName>
    <definedName name="Número_Ministraciones_Layout">#REF!</definedName>
    <definedName name="Opción_Pago_Anticipado" localSheetId="2">'[1]Pagos Anticipados'!$C$1</definedName>
    <definedName name="Opción_Pago_Anticipado" localSheetId="1">'[1]Pagos Anticipados'!$C$1</definedName>
    <definedName name="Opción_Pago_Anticipado">#REF!</definedName>
    <definedName name="Opciones_Prepagos_Apoyo" localSheetId="2">'[1]Pagos Anticipados'!$C$7:$C$9</definedName>
    <definedName name="Opciones_Prepagos_Apoyo" localSheetId="1">'[1]Pagos Anticipados'!$C$7:$C$9</definedName>
    <definedName name="Opciones_Prepagos_Apoyo">#REF!</definedName>
    <definedName name="Opciones_Prepagos_Cofinavit" localSheetId="2">'[1]Pagos Anticipados'!$D$7:$D$9</definedName>
    <definedName name="Opciones_Prepagos_Cofinavit" localSheetId="1">'[1]Pagos Anticipados'!$D$7:$D$9</definedName>
    <definedName name="Opciones_Prepagos_Cofinavit">#REF!</definedName>
    <definedName name="Opciones_Prepagos_Fovissste" localSheetId="2">'[1]Pagos Anticipados'!$E$7:$E$9</definedName>
    <definedName name="Opciones_Prepagos_Fovissste" localSheetId="1">'[1]Pagos Anticipados'!$E$7:$E$9</definedName>
    <definedName name="Opciones_Prepagos_Fovissste">#REF!</definedName>
    <definedName name="Opciones_Prepagos_Tradicional" localSheetId="2">'[1]Pagos Anticipados'!$B$7:$B$9</definedName>
    <definedName name="Opciones_Prepagos_Tradicional" localSheetId="1">'[1]Pagos Anticipados'!$B$7:$B$9</definedName>
    <definedName name="Opciones_Prepagos_Tradicional">#REF!</definedName>
    <definedName name="origen" localSheetId="2">[5]Adm!$AH$5:$AH$7</definedName>
    <definedName name="origen" localSheetId="1">[5]Adm!$AH$5:$AH$7</definedName>
    <definedName name="origen">#REF!</definedName>
    <definedName name="Pago_mensual_neto" localSheetId="2">#REF!</definedName>
    <definedName name="Pago_mensual_neto" localSheetId="1">#REF!</definedName>
    <definedName name="Pago_mensual_neto">#REF!</definedName>
    <definedName name="Pago_Mensual_Tradicional" localSheetId="2">'[1]PASO7 TRAD'!$F$11</definedName>
    <definedName name="Pago_Mensual_Tradicional" localSheetId="1">'[1]PASO7 TRAD'!$F$11</definedName>
    <definedName name="Pago_Mensual_Tradicional">#REF!</definedName>
    <definedName name="Pago_Mínimo" localSheetId="2">'[1]Crédito Banorte'!$L$9</definedName>
    <definedName name="Pago_Mínimo" localSheetId="1">'[1]Crédito Banorte'!$L$9</definedName>
    <definedName name="Pago_Mínimo">#REF!</definedName>
    <definedName name="Pagos_Ant_Apoyo_A" localSheetId="2">'[1]Pagos Anticipados'!$F$17:$F$19</definedName>
    <definedName name="Pagos_Ant_Apoyo_A" localSheetId="1">'[1]Pagos Anticipados'!$F$17:$F$19</definedName>
    <definedName name="Pagos_Ant_Apoyo_A">#REF!</definedName>
    <definedName name="Pagos_Ant_Apoyo_B" localSheetId="2">'[1]Pagos Anticipados'!$F$22:$F$24</definedName>
    <definedName name="Pagos_Ant_Apoyo_B" localSheetId="1">'[1]Pagos Anticipados'!$F$22:$F$24</definedName>
    <definedName name="Pagos_Ant_Apoyo_B">#REF!</definedName>
    <definedName name="Pagos_Ant_Apoyo_C" localSheetId="2">'[1]Pagos Anticipados'!$F$27:$F$28</definedName>
    <definedName name="Pagos_Ant_Apoyo_C" localSheetId="1">'[1]Pagos Anticipados'!$F$27:$F$28</definedName>
    <definedName name="Pagos_Ant_Apoyo_C">#REF!</definedName>
    <definedName name="Pagos_Ant_Cofinavit_A" localSheetId="2">'[1]Pagos Anticipados'!$G$17:$G$19</definedName>
    <definedName name="Pagos_Ant_Cofinavit_A" localSheetId="1">'[1]Pagos Anticipados'!$G$17:$G$19</definedName>
    <definedName name="Pagos_Ant_Cofinavit_A">#REF!</definedName>
    <definedName name="Pagos_Ant_Cofinavit_B" localSheetId="2">'[1]Pagos Anticipados'!$G$22:$G$24</definedName>
    <definedName name="Pagos_Ant_Cofinavit_B" localSheetId="1">'[1]Pagos Anticipados'!$G$22:$G$24</definedName>
    <definedName name="Pagos_Ant_Cofinavit_B">#REF!</definedName>
    <definedName name="Pagos_Ant_Cofinavit_C" localSheetId="2">'[1]Pagos Anticipados'!$G$27:$G$29</definedName>
    <definedName name="Pagos_Ant_Cofinavit_C" localSheetId="1">'[1]Pagos Anticipados'!$G$27:$G$29</definedName>
    <definedName name="Pagos_Ant_Cofinavit_C">#REF!</definedName>
    <definedName name="Pagos_Ant_D" localSheetId="2">'[1]Pagos Anticipados'!$B$32:$E$32</definedName>
    <definedName name="Pagos_Ant_D" localSheetId="1">'[1]Pagos Anticipados'!$B$32:$E$32</definedName>
    <definedName name="Pagos_Ant_D">#REF!</definedName>
    <definedName name="Pagos_Ant_Fovissste_A" localSheetId="2">'[1]Pagos Anticipados'!$H$17:$H$19</definedName>
    <definedName name="Pagos_Ant_Fovissste_A" localSheetId="1">'[1]Pagos Anticipados'!$H$17:$H$19</definedName>
    <definedName name="Pagos_Ant_Fovissste_A">#REF!</definedName>
    <definedName name="Pagos_Ant_Fovissste_B" localSheetId="2">'[1]Pagos Anticipados'!$H$22:$H$24</definedName>
    <definedName name="Pagos_Ant_Fovissste_B" localSheetId="1">'[1]Pagos Anticipados'!$H$22:$H$24</definedName>
    <definedName name="Pagos_Ant_Fovissste_B">#REF!</definedName>
    <definedName name="Pagos_Ant_Fovissste_C" localSheetId="2">'[1]Pagos Anticipados'!$H$27:$H$29</definedName>
    <definedName name="Pagos_Ant_Fovissste_C" localSheetId="1">'[1]Pagos Anticipados'!$H$27:$H$29</definedName>
    <definedName name="Pagos_Ant_Fovissste_C">#REF!</definedName>
    <definedName name="Pagos_Ant_LiquidezyTerreno" localSheetId="2">'[1]Pagos Anticipados'!$B$12:$B$14</definedName>
    <definedName name="Pagos_Ant_LiquidezyTerreno" localSheetId="1">'[1]Pagos Anticipados'!$B$12:$B$14</definedName>
    <definedName name="Pagos_Ant_LiquidezyTerreno">#REF!</definedName>
    <definedName name="Pagos_Ant_Tradicional_A" localSheetId="2">'[1]Pagos Anticipados'!$B$17:$E$19</definedName>
    <definedName name="Pagos_Ant_Tradicional_A" localSheetId="1">'[1]Pagos Anticipados'!$B$17:$E$19</definedName>
    <definedName name="Pagos_Ant_Tradicional_A">#REF!</definedName>
    <definedName name="Pagos_Ant_Tradicional_B" localSheetId="2">'[1]Pagos Anticipados'!$B$22:$E$24</definedName>
    <definedName name="Pagos_Ant_Tradicional_B" localSheetId="1">'[1]Pagos Anticipados'!$B$22:$E$24</definedName>
    <definedName name="Pagos_Ant_Tradicional_B">#REF!</definedName>
    <definedName name="Pagos_Ant_Tradicional_C" localSheetId="2">'[1]Pagos Anticipados'!$B$27:$E$29</definedName>
    <definedName name="Pagos_Ant_Tradicional_C" localSheetId="1">'[1]Pagos Anticipados'!$B$27:$E$29</definedName>
    <definedName name="Pagos_Ant_Tradicional_C">#REF!</definedName>
    <definedName name="Param_Crédito_Cónyuge_Cofinavit" localSheetId="2">[1]DondeCotiza!$K$17</definedName>
    <definedName name="Param_Crédito_Cónyuge_Cofinavit" localSheetId="1">[1]DondeCotiza!$K$17</definedName>
    <definedName name="Param_Crédito_Cónyuge_Cofinavit">#REF!</definedName>
    <definedName name="Param_Crédito_Cónyuge_Cofinavit_IA" localSheetId="2">[1]DondeCotiza!$K$19</definedName>
    <definedName name="Param_Crédito_Cónyuge_Cofinavit_IA" localSheetId="1">[1]DondeCotiza!$K$19</definedName>
    <definedName name="Param_Crédito_Cónyuge_Cofinavit_IA">#REF!</definedName>
    <definedName name="Param_Crédito_Fovissste" localSheetId="2">[1]DondeCotiza!$K$20</definedName>
    <definedName name="Param_Crédito_Fovissste" localSheetId="1">[1]DondeCotiza!$K$20</definedName>
    <definedName name="Param_Crédito_Fovissste">#REF!</definedName>
    <definedName name="Param_Crédito_Titular_Cofinavit" localSheetId="2">[1]DondeCotiza!$K$16</definedName>
    <definedName name="Param_Crédito_Titular_Cofinavit" localSheetId="1">[1]DondeCotiza!$K$16</definedName>
    <definedName name="Param_Crédito_Titular_Cofinavit">#REF!</definedName>
    <definedName name="Param_Crédito_Titular_Cofinavit_IA" localSheetId="2">[1]DondeCotiza!$K$18</definedName>
    <definedName name="Param_Crédito_Titular_Cofinavit_IA" localSheetId="1">[1]DondeCotiza!$K$18</definedName>
    <definedName name="Param_Crédito_Titular_Cofinavit_IA">#REF!</definedName>
    <definedName name="Param_Ingreso_Mínimo_Especial_Apoyo" localSheetId="2">[1]DondeCotiza!$K$14</definedName>
    <definedName name="Param_Ingreso_Mínimo_Especial_Apoyo" localSheetId="1">[1]DondeCotiza!$K$14</definedName>
    <definedName name="Param_Ingreso_Mínimo_Especial_Apoyo">#REF!</definedName>
    <definedName name="Param_Ingreso_Mínimo_General" localSheetId="2">[1]DondeCotiza!$K$13</definedName>
    <definedName name="Param_Ingreso_Mínimo_General" localSheetId="1">[1]DondeCotiza!$K$13</definedName>
    <definedName name="Param_Ingreso_Mínimo_General">#REF!</definedName>
    <definedName name="Param_Tope_Aportación_Apoyo" localSheetId="2">[1]DondeCotiza!$K$15</definedName>
    <definedName name="Param_Tope_Aportación_Apoyo" localSheetId="1">[1]DondeCotiza!$K$15</definedName>
    <definedName name="Param_Tope_Aportación_Apoyo">#REF!</definedName>
    <definedName name="Periodo" localSheetId="2">'[1]Fecha Pago'!$J:$J</definedName>
    <definedName name="Periodo" localSheetId="1">'[1]Fecha Pago'!$J:$J</definedName>
    <definedName name="Periodo">#REF!</definedName>
    <definedName name="Plazo_Crédito" localSheetId="2">[1]Plazos!$J$16</definedName>
    <definedName name="Plazo_Crédito" localSheetId="1">[1]Plazos!$J$16</definedName>
    <definedName name="Plazo_Crédito">#REF!</definedName>
    <definedName name="Plazo_Crédito_en_años" localSheetId="2">[1]Plazos!$J$17</definedName>
    <definedName name="Plazo_Crédito_en_años" localSheetId="1">[1]Plazos!$J$17</definedName>
    <definedName name="Plazo_Crédito_en_años">#REF!</definedName>
    <definedName name="Plazo_Etiqueta_Notaría" localSheetId="2">[1]Plazos!$J$23</definedName>
    <definedName name="Plazo_Etiqueta_Notaría" localSheetId="1">[1]Plazos!$J$23</definedName>
    <definedName name="Plazo_Etiqueta_Notaría">#REF!</definedName>
    <definedName name="Plazo_Máximo" localSheetId="2">[1]Plazos!$J$13</definedName>
    <definedName name="Plazo_Máximo" localSheetId="1">[1]Plazos!$J$13</definedName>
    <definedName name="Plazo_Máximo">#REF!</definedName>
    <definedName name="Plazo_Máximo_AG" localSheetId="2">#REF!</definedName>
    <definedName name="Plazo_Máximo_AG" localSheetId="1">#REF!</definedName>
    <definedName name="Plazo_Máximo_AG">#REF!</definedName>
    <definedName name="Plazo_Ministraciones_Layout" localSheetId="2">#REF!</definedName>
    <definedName name="Plazo_Ministraciones_Layout" localSheetId="1">#REF!</definedName>
    <definedName name="Plazo_Ministraciones_Layout">#REF!</definedName>
    <definedName name="Plazo_por_Combo" localSheetId="2">[1]Plazos!$J$10</definedName>
    <definedName name="Plazo_por_Combo" localSheetId="1">[1]Plazos!$J$10</definedName>
    <definedName name="Plazo_por_Combo">#REF!</definedName>
    <definedName name="Plazos_Disponibles" localSheetId="2">[1]Plazos!$G$9:$G$24</definedName>
    <definedName name="Plazos_Disponibles" localSheetId="1">[1]Plazos!$G$9:$G$24</definedName>
    <definedName name="Plazos_Disponibles">#REF!</definedName>
    <definedName name="Por_avalúo" localSheetId="2">'[1]Tipo de Simulación'!$A$2</definedName>
    <definedName name="Por_avalúo" localSheetId="1">'[1]Tipo de Simulación'!$A$2</definedName>
    <definedName name="Por_avalúo">#REF!</definedName>
    <definedName name="Por_crédito" localSheetId="2">'[1]Tipo de Simulación'!$A$3</definedName>
    <definedName name="Por_crédito" localSheetId="1">'[1]Tipo de Simulación'!$A$3</definedName>
    <definedName name="Por_crédito">#REF!</definedName>
    <definedName name="Por_ingreso_mensual" localSheetId="2">'[1]Tipo de Simulación'!$A$5</definedName>
    <definedName name="Por_ingreso_mensual" localSheetId="1">'[1]Tipo de Simulación'!$A$5</definedName>
    <definedName name="Por_ingreso_mensual">#REF!</definedName>
    <definedName name="Por_pago_mensual" localSheetId="2">'[1]Tipo de Simulación'!$A$4</definedName>
    <definedName name="Por_pago_mensual" localSheetId="1">'[1]Tipo de Simulación'!$A$4</definedName>
    <definedName name="Por_pago_mensual">#REF!</definedName>
    <definedName name="Porcentaje_Aportación_Patronal" localSheetId="2">#REF!</definedName>
    <definedName name="Porcentaje_Aportación_Patronal" localSheetId="1">#REF!</definedName>
    <definedName name="Porcentaje_Aportación_Patronal">#REF!</definedName>
    <definedName name="Porcentaje_Comisión_Apertura" localSheetId="2">#REF!</definedName>
    <definedName name="Porcentaje_Comisión_Apertura" localSheetId="1">#REF!</definedName>
    <definedName name="Porcentaje_Comisión_Apertura">#REF!</definedName>
    <definedName name="Porcentaje_Comisión_Avalúo" localSheetId="2">#REF!</definedName>
    <definedName name="Porcentaje_Comisión_Avalúo" localSheetId="1">#REF!</definedName>
    <definedName name="Porcentaje_Comisión_Avalúo">#REF!</definedName>
    <definedName name="Porcentaje_Crédito_sin_Com" localSheetId="2">'[1]Salida Cotización'!$E$3</definedName>
    <definedName name="Porcentaje_Crédito_sin_Com" localSheetId="1">'[1]Salida Cotización'!$E$3</definedName>
    <definedName name="Porcentaje_Crédito_sin_Com">#REF!</definedName>
    <definedName name="Porcentaje_de_Crédito_Cónyuge" localSheetId="2">#REF!</definedName>
    <definedName name="Porcentaje_de_Crédito_Cónyuge" localSheetId="1">#REF!</definedName>
    <definedName name="Porcentaje_de_Crédito_Cónyuge">#REF!</definedName>
    <definedName name="Porcentaje_del_avalúo_para_MID" localSheetId="2">[1]Validaciones!$A$2</definedName>
    <definedName name="Porcentaje_del_avalúo_para_MID" localSheetId="1">[1]Validaciones!$A$2</definedName>
    <definedName name="Porcentaje_del_avalúo_para_MID">#REF!</definedName>
    <definedName name="Porcentaje_Devolución" localSheetId="2">#REF!</definedName>
    <definedName name="Porcentaje_Devolución" localSheetId="1">#REF!</definedName>
    <definedName name="Porcentaje_Devolución">#REF!</definedName>
    <definedName name="Porcentaje_Enganche_Req" localSheetId="2">'[1]Salida Cotización'!$E$4</definedName>
    <definedName name="Porcentaje_Enganche_Req" localSheetId="1">'[1]Salida Cotización'!$E$4</definedName>
    <definedName name="Porcentaje_Enganche_Req">#REF!</definedName>
    <definedName name="Porcentaje_Gastos_Infonavit" localSheetId="2">#REF!</definedName>
    <definedName name="Porcentaje_Gastos_Infonavit" localSheetId="1">#REF!</definedName>
    <definedName name="Porcentaje_Gastos_Infonavit">#REF!</definedName>
    <definedName name="PRODUCTO" localSheetId="2">'[6]Pago Fijo'!$I$4</definedName>
    <definedName name="PRODUCTO" localSheetId="1">'[6]Pago Fijo'!$I$4</definedName>
    <definedName name="PRODUCTO">#REF!</definedName>
    <definedName name="Producto.Multitasa?_VBA" localSheetId="2">[1]Productos!$G$4</definedName>
    <definedName name="Producto.Multitasa?_VBA" localSheetId="1">[1]Productos!$G$4</definedName>
    <definedName name="Producto.Multitasa?_VBA">#REF!</definedName>
    <definedName name="Producto.Nombre" localSheetId="2">[1]Productos!$C$4</definedName>
    <definedName name="Producto.Nombre" localSheetId="1">[1]Productos!$C$4</definedName>
    <definedName name="Producto.Nombre">#REF!</definedName>
    <definedName name="Producto.Pagos_Crecientes?" localSheetId="2">[1]Productos!$E$4</definedName>
    <definedName name="Producto.Pagos_Crecientes?" localSheetId="1">[1]Productos!$E$4</definedName>
    <definedName name="Producto.Pagos_Crecientes?">#REF!</definedName>
    <definedName name="Producto.Tasa_Final" localSheetId="2">[1]Productos!$H$4</definedName>
    <definedName name="Producto.Tasa_Final" localSheetId="1">[1]Productos!$H$4</definedName>
    <definedName name="Producto.Tasa_Final">#REF!</definedName>
    <definedName name="Producto.Tasa_Interés" localSheetId="2">[1]Productos!$F$4</definedName>
    <definedName name="Producto.Tasa_Interés" localSheetId="1">[1]Productos!$F$4</definedName>
    <definedName name="Producto.Tasa_Interés">#REF!</definedName>
    <definedName name="Recurso_faltante" localSheetId="2">'[1]Crédito Banorte'!$C$70</definedName>
    <definedName name="Recurso_faltante" localSheetId="1">'[1]Crédito Banorte'!$C$70</definedName>
    <definedName name="Recurso_faltante">#REF!</definedName>
    <definedName name="Recursos_para_Adquirir_la_Vivienda" localSheetId="2">'[1]Crédito Banorte'!$C$77</definedName>
    <definedName name="Recursos_para_Adquirir_la_Vivienda" localSheetId="1">'[1]Crédito Banorte'!$C$77</definedName>
    <definedName name="Recursos_para_Adquirir_la_Vivienda">#REF!</definedName>
    <definedName name="Recursos_para_cubrir_los_gastos_de_originación" localSheetId="2">'[1]Crédito Banorte'!$C$79</definedName>
    <definedName name="Recursos_para_cubrir_los_gastos_de_originación" localSheetId="1">'[1]Crédito Banorte'!$C$79</definedName>
    <definedName name="Recursos_para_cubrir_los_gastos_de_originación">#REF!</definedName>
    <definedName name="Reduce_Plazo" localSheetId="2">'[1]Pagos Anticipados'!$E$4</definedName>
    <definedName name="Reduce_Plazo" localSheetId="1">'[1]Pagos Anticipados'!$E$4</definedName>
    <definedName name="Reduce_Plazo">#REF!</definedName>
    <definedName name="Reduce_Plazo_y_Pago" localSheetId="2">'[1]Pagos Anticipados'!$E$2</definedName>
    <definedName name="Reduce_Plazo_y_Pago" localSheetId="1">'[1]Pagos Anticipados'!$E$2</definedName>
    <definedName name="Reduce_Plazo_y_Pago">#REF!</definedName>
    <definedName name="Relación_Ingreso_Pago" localSheetId="2">#REF!</definedName>
    <definedName name="Relación_Ingreso_Pago" localSheetId="1">#REF!</definedName>
    <definedName name="Relación_Ingreso_Pago">#REF!</definedName>
    <definedName name="Remodelación" localSheetId="2">'[3]Tabla Parámetros'!$C$41</definedName>
    <definedName name="Remodelación" localSheetId="1">'[4]Tabla Parámetros'!$C$41</definedName>
    <definedName name="Remodelación">#REF!</definedName>
    <definedName name="Respalda2" localSheetId="2">'[1]Esquema Especial'!$B$6</definedName>
    <definedName name="Respalda2" localSheetId="1">'[1]Esquema Especial'!$B$6</definedName>
    <definedName name="Respalda2">#REF!</definedName>
    <definedName name="Restante_Aportación_Adicional" localSheetId="2">'[1]Crédito Banorte'!$C$61</definedName>
    <definedName name="Restante_Aportación_Adicional" localSheetId="1">'[1]Crédito Banorte'!$C$61</definedName>
    <definedName name="Restante_Aportación_Adicional">#REF!</definedName>
    <definedName name="Restante_Aportación_Adicional2" localSheetId="2">'[1]Crédito Banorte'!$D$60</definedName>
    <definedName name="Restante_Aportación_Adicional2" localSheetId="1">'[1]Crédito Banorte'!$D$60</definedName>
    <definedName name="Restante_Aportación_Adicional2">#REF!</definedName>
    <definedName name="Restante_Aportación_Adicional3" localSheetId="2">'[1]Crédito Banorte'!$D$61</definedName>
    <definedName name="Restante_Aportación_Adicional3" localSheetId="1">'[1]Crédito Banorte'!$D$61</definedName>
    <definedName name="Restante_Aportación_Adicional3">#REF!</definedName>
    <definedName name="Resultado_Crédito_de_Institución" localSheetId="2">'[1]Crédito Banorte'!$C$55</definedName>
    <definedName name="Resultado_Crédito_de_Institución" localSheetId="1">'[1]Crédito Banorte'!$C$55</definedName>
    <definedName name="Resultado_Crédito_de_Institución">#REF!</definedName>
    <definedName name="Resultado_Monto_Remanente_Cony" localSheetId="2">[1]Validaciones!$D$11</definedName>
    <definedName name="Resultado_Monto_Remanente_Cony" localSheetId="1">[1]Validaciones!$D$11</definedName>
    <definedName name="Resultado_Monto_Remanente_Cony">#REF!</definedName>
    <definedName name="Resultado_Monto_Remanente_Tit" localSheetId="2">[1]Validaciones!$C$11</definedName>
    <definedName name="Resultado_Monto_Remanente_Tit" localSheetId="1">[1]Validaciones!$C$11</definedName>
    <definedName name="Resultado_Monto_Remanente_Tit">#REF!</definedName>
    <definedName name="Resultado_Monto_Remanente_Total" localSheetId="2">[1]Validaciones!$E$11</definedName>
    <definedName name="Resultado_Monto_Remanente_Total" localSheetId="1">[1]Validaciones!$E$11</definedName>
    <definedName name="Resultado_Monto_Remanente_Total">#REF!</definedName>
    <definedName name="Resultado_Saldo_Subcuenta" localSheetId="2">'[1]Crédito Banorte'!$C$54</definedName>
    <definedName name="Resultado_Saldo_Subcuenta" localSheetId="1">'[1]Crédito Banorte'!$C$54</definedName>
    <definedName name="Resultado_Saldo_Subcuenta">#REF!</definedName>
    <definedName name="RG_MomentosVida" localSheetId="2">[1]PasoSeguros!$G$15</definedName>
    <definedName name="RG_MomentosVida" localSheetId="1">[1]PasoSeguros!$G$15</definedName>
    <definedName name="RG_MomentosVida">#REF!</definedName>
    <definedName name="RG_SeguroDaños" localSheetId="2">[1]PasoSeguros!$G$17</definedName>
    <definedName name="RG_SeguroDaños" localSheetId="1">[1]PasoSeguros!$G$17</definedName>
    <definedName name="RG_SeguroDaños">#REF!</definedName>
    <definedName name="RG_SegurosBanorte" localSheetId="2">[1]PasoSeguros!$G$9</definedName>
    <definedName name="RG_SegurosBanorte" localSheetId="1">[1]PasoSeguros!$G$9</definedName>
    <definedName name="RG_SegurosBanorte">#REF!</definedName>
    <definedName name="RG_SeguroVida" localSheetId="2">[1]PasoSeguros!$G$13</definedName>
    <definedName name="RG_SeguroVida" localSheetId="1">[1]PasoSeguros!$G$13</definedName>
    <definedName name="RG_SeguroVida">#REF!</definedName>
    <definedName name="RG_ServicioAsistencia" localSheetId="2">[1]PasoSeguros!$G$19</definedName>
    <definedName name="RG_ServicioAsistencia" localSheetId="1">[1]PasoSeguros!$G$19</definedName>
    <definedName name="RG_ServicioAsistencia">#REF!</definedName>
    <definedName name="RG_TipoSeguroBanorte" localSheetId="2">[1]PasoSeguros!$G$11</definedName>
    <definedName name="RG_TipoSeguroBanorte" localSheetId="1">[1]PasoSeguros!$G$11</definedName>
    <definedName name="RG_TipoSeguroBanorte">#REF!</definedName>
    <definedName name="SA" localSheetId="2">'[1]Crédito Banorte'!$O$84</definedName>
    <definedName name="SA" localSheetId="1">'[1]Crédito Banorte'!$O$84</definedName>
    <definedName name="SA">#REF!</definedName>
    <definedName name="Salario_Mínimo" localSheetId="2">'[1]UDIS y SM'!$B$9</definedName>
    <definedName name="Salario_Mínimo" localSheetId="1">'[1]UDIS y SM'!$B$9</definedName>
    <definedName name="Salario_Mínimo">#REF!</definedName>
    <definedName name="Saldo_SAR_Cónyuge" localSheetId="2">'[1]PASO6 FOVISSSTE'!$G$24</definedName>
    <definedName name="Saldo_SAR_Cónyuge" localSheetId="1">'[1]PASO6 FOVISSSTE'!$G$24</definedName>
    <definedName name="Saldo_SAR_Cónyuge">#REF!</definedName>
    <definedName name="Saldo_SAR_Titular" localSheetId="2">'[1]PASO6 FOVISSSTE'!$E$24</definedName>
    <definedName name="Saldo_SAR_Titular" localSheetId="1">'[1]PASO6 FOVISSSTE'!$E$24</definedName>
    <definedName name="Saldo_SAR_Titular">#REF!</definedName>
    <definedName name="Salida_plazo_macro" localSheetId="2">[1]Plazos!$L$5</definedName>
    <definedName name="Salida_plazo_macro" localSheetId="1">[1]Plazos!$L$5</definedName>
    <definedName name="Salida_plazo_macro">#REF!</definedName>
    <definedName name="Seguro_Daños" localSheetId="2">#REF!</definedName>
    <definedName name="Seguro_Daños" localSheetId="1">#REF!</definedName>
    <definedName name="Seguro_Daños">#REF!</definedName>
    <definedName name="Seguro_Daños_CAT" localSheetId="2">#REF!</definedName>
    <definedName name="Seguro_Daños_CAT" localSheetId="1">#REF!</definedName>
    <definedName name="Seguro_Daños_CAT">#REF!</definedName>
    <definedName name="Seguro_Daños_CAT_Layout" localSheetId="2">#REF!</definedName>
    <definedName name="Seguro_Daños_CAT_Layout" localSheetId="1">#REF!</definedName>
    <definedName name="Seguro_Daños_CAT_Layout">#REF!</definedName>
    <definedName name="Seguro_Daños_Layout" localSheetId="2">#REF!</definedName>
    <definedName name="Seguro_Daños_Layout" localSheetId="1">#REF!</definedName>
    <definedName name="Seguro_Daños_Layout">#REF!</definedName>
    <definedName name="Seguro_Desempleo" localSheetId="2">#REF!</definedName>
    <definedName name="Seguro_Desempleo" localSheetId="1">#REF!</definedName>
    <definedName name="Seguro_Desempleo">#REF!</definedName>
    <definedName name="Seguro_Vida" localSheetId="2">#REF!</definedName>
    <definedName name="Seguro_Vida" localSheetId="1">#REF!</definedName>
    <definedName name="Seguro_Vida">#REF!</definedName>
    <definedName name="Seguro_Vida_Layout" localSheetId="2">#REF!</definedName>
    <definedName name="Seguro_Vida_Layout" localSheetId="1">#REF!</definedName>
    <definedName name="Seguro_Vida_Layout">#REF!</definedName>
    <definedName name="Sel_Desembolso_Inicial" localSheetId="2">'[1]Gastos Iniciales'!$A$8</definedName>
    <definedName name="Sel_Desembolso_Inicial" localSheetId="1">'[1]Gastos Iniciales'!$A$8</definedName>
    <definedName name="Sel_Desembolso_Inicial">#REF!</definedName>
    <definedName name="Sel_Destino_Anterior_Es_Terreno" localSheetId="2">[1]Destinos!$L$18</definedName>
    <definedName name="Sel_Destino_Anterior_Es_Terreno" localSheetId="1">[1]Destinos!$L$18</definedName>
    <definedName name="Sel_Destino_Anterior_Es_Terreno">#REF!</definedName>
    <definedName name="Sel_Donde_Cotiza" localSheetId="2">[1]DondeCotiza!$B$4</definedName>
    <definedName name="Sel_Donde_Cotiza" localSheetId="1">[1]DondeCotiza!$B$4</definedName>
    <definedName name="Sel_Donde_Cotiza">#REF!</definedName>
    <definedName name="Sel_IVA_en_Destino_Anterior" localSheetId="2">[1]IVA!$D$23</definedName>
    <definedName name="Sel_IVA_en_Destino_Anterior" localSheetId="1">[1]IVA!$D$23</definedName>
    <definedName name="Sel_IVA_en_Destino_Anterior">#REF!</definedName>
    <definedName name="Sel_Pago_Anticipado" localSheetId="2">'[1]Pagos Anticipados'!$A$1</definedName>
    <definedName name="Sel_Pago_Anticipado" localSheetId="1">'[1]Pagos Anticipados'!$A$1</definedName>
    <definedName name="Sel_Pago_Anticipado">#REF!</definedName>
    <definedName name="Sel_Tasa" localSheetId="2">[1]PasoTasas.Helper!$J$5</definedName>
    <definedName name="Sel_Tasa" localSheetId="1">[1]PasoTasas.Helper!$J$5</definedName>
    <definedName name="Sel_Tasa">#REF!</definedName>
    <definedName name="Selección_Combo_Plazo" localSheetId="2">[1]Plazos!$J$9</definedName>
    <definedName name="Selección_Combo_Plazo" localSheetId="1">[1]Plazos!$J$9</definedName>
    <definedName name="Selección_Combo_Plazo">#REF!</definedName>
    <definedName name="Selección_Por_Producto" localSheetId="2">'[1]Crédito Banorte'!$AH:$AH</definedName>
    <definedName name="Selección_Por_Producto" localSheetId="1">'[1]Crédito Banorte'!$AH:$AH</definedName>
    <definedName name="Selección_Por_Producto">#REF!</definedName>
    <definedName name="SelProducto" localSheetId="2">[1]Productos!$A$4</definedName>
    <definedName name="SelProducto" localSheetId="1">[1]Productos!$A$4</definedName>
    <definedName name="SelProducto">#REF!</definedName>
    <definedName name="Si" localSheetId="2">[1]IVA!$F$24</definedName>
    <definedName name="Si" localSheetId="1">[1]IVA!$F$24</definedName>
    <definedName name="Si">#REF!</definedName>
    <definedName name="SinSeguro" localSheetId="2">[1]Tipo_Seguro!$D$9</definedName>
    <definedName name="SinSeguro" localSheetId="1">[1]Tipo_Seguro!$D$9</definedName>
    <definedName name="SinSeguro">#REF!</definedName>
    <definedName name="SSV" localSheetId="2">'[1]Crédito Banorte'!$C$54</definedName>
    <definedName name="SSV" localSheetId="1">'[1]Crédito Banorte'!$C$54</definedName>
    <definedName name="SSV">#REF!</definedName>
    <definedName name="SSV_Cónyuge" localSheetId="2">'[1]PASO6 COFINAVIT'!$G$23</definedName>
    <definedName name="SSV_Cónyuge" localSheetId="1">'[1]PASO6 COFINAVIT'!$G$23</definedName>
    <definedName name="SSV_Cónyuge">#REF!</definedName>
    <definedName name="SSV_Titular" localSheetId="2">'[1]PASO6 COFINAVIT'!$E$23</definedName>
    <definedName name="SSV_Titular" localSheetId="1">'[1]PASO6 COFINAVIT'!$E$23</definedName>
    <definedName name="SSV_Titular">#REF!</definedName>
    <definedName name="Subrogación" localSheetId="2">[1]Destinos!$A$14</definedName>
    <definedName name="Subrogación" localSheetId="1">[1]Destinos!$A$14</definedName>
    <definedName name="Subrogación">#REF!</definedName>
    <definedName name="Suma_Gastos_Originación" localSheetId="2">[1]Cotización!$G$122</definedName>
    <definedName name="Suma_Gastos_Originación" localSheetId="1">[1]Cotización!$G$122</definedName>
    <definedName name="Suma_Gastos_Originación">#REF!</definedName>
    <definedName name="TablaCliente.Col.PagoMensual" localSheetId="2">'[1]Tabla Cliente'!$P$37:$P$396</definedName>
    <definedName name="TablaCliente.Col.PagoMensual" localSheetId="1">'[1]Tabla Cliente'!$P$37:$P$396</definedName>
    <definedName name="TablaCliente.Col.PagoMensual">#REF!</definedName>
    <definedName name="Tasa_año_4_a_7" localSheetId="2">[1]Tasas!$H$8</definedName>
    <definedName name="Tasa_año_4_a_7" localSheetId="1">[1]Tasas!$H$8</definedName>
    <definedName name="Tasa_año_4_a_7">#REF!</definedName>
    <definedName name="Tasa_año_7_en_adelante" localSheetId="2">[1]Tasas!$I$8</definedName>
    <definedName name="Tasa_año_7_en_adelante" localSheetId="1">[1]Tasas!$I$8</definedName>
    <definedName name="Tasa_año_7_en_adelante">#REF!</definedName>
    <definedName name="Tasa_Final" localSheetId="2">#REF!</definedName>
    <definedName name="Tasa_Final" localSheetId="1">#REF!</definedName>
    <definedName name="Tasa_Final">#REF!</definedName>
    <definedName name="Tasa_inicial" localSheetId="2">#REF!</definedName>
    <definedName name="Tasa_inicial" localSheetId="1">#REF!</definedName>
    <definedName name="Tasa_inicial">#REF!</definedName>
    <definedName name="Tasa_Inicial_Layout" localSheetId="2">#REF!</definedName>
    <definedName name="Tasa_Inicial_Layout" localSheetId="1">#REF!</definedName>
    <definedName name="Tasa_Inicial_Layout">#REF!</definedName>
    <definedName name="Tasa_Moratoria" localSheetId="2">'Oferta Vinculante'!$M$14</definedName>
    <definedName name="Tasas" localSheetId="2">[1]Tasas!$N$4:$N$363</definedName>
    <definedName name="Tasas" localSheetId="1">[1]Tasas!$N$4:$N$363</definedName>
    <definedName name="Tasas">#REF!</definedName>
    <definedName name="Tasas_Gémini" localSheetId="2">#REF!</definedName>
    <definedName name="Tasas_Gémini" localSheetId="1">#REF!</definedName>
    <definedName name="Tasas_Gémini">#REF!</definedName>
    <definedName name="Terreno" localSheetId="2">[1]Destinos!$A$13</definedName>
    <definedName name="Terreno" localSheetId="1">[1]Destinos!$A$13</definedName>
    <definedName name="Terreno">#REF!</definedName>
    <definedName name="Terreno_Urbanizado" localSheetId="2">'[3]Tabla Parámetros'!$C$53:$C$54</definedName>
    <definedName name="Terreno_Urbanizado" localSheetId="1">'[4]Tabla Parámetros'!$C$53:$C$54</definedName>
    <definedName name="Terreno_Urbanizado">#REF!</definedName>
    <definedName name="Texto_Esquema" localSheetId="2">#REF!</definedName>
    <definedName name="Texto_Esquema" localSheetId="1">#REF!</definedName>
    <definedName name="Texto_Esquema">#REF!</definedName>
    <definedName name="Tipo_Crédito_Banorte" localSheetId="2">'[1]Tipo de Crédito'!$A$1</definedName>
    <definedName name="Tipo_Crédito_Banorte" localSheetId="1">'[1]Tipo de Crédito'!$A$1</definedName>
    <definedName name="Tipo_Crédito_Banorte">#REF!</definedName>
    <definedName name="Tipo_Crédito_COF_o_FOV" localSheetId="2">'[1]Tipo de Crédito'!$D$1</definedName>
    <definedName name="Tipo_Crédito_COF_o_FOV" localSheetId="1">'[1]Tipo de Crédito'!$D$1</definedName>
    <definedName name="Tipo_Crédito_COF_o_FOV">#REF!</definedName>
    <definedName name="Tipo_Seguro_VBA" localSheetId="2">[1]PasoSeguros!$N$4</definedName>
    <definedName name="Tipo_Seguro_VBA" localSheetId="1">[1]PasoSeguros!$N$4</definedName>
    <definedName name="Tipo_Seguro_VBA">#REF!</definedName>
    <definedName name="Tipo_simulación" localSheetId="2">'[1]Tipo de Simulación'!$A$1</definedName>
    <definedName name="Tipo_simulación" localSheetId="1">'[1]Tipo de Simulación'!$A$1</definedName>
    <definedName name="Tipo_simulación">#REF!</definedName>
    <definedName name="Título_Avalúo_Cotización" localSheetId="2">'[1]Ajustes Subrogación'!$B$18</definedName>
    <definedName name="Título_Avalúo_Cotización" localSheetId="1">'[1]Ajustes Subrogación'!$B$18</definedName>
    <definedName name="Título_Avalúo_Cotización">#REF!</definedName>
    <definedName name="Título_Avalúo_Largo" localSheetId="2">'[1]Ajustes Subrogación'!$B$19</definedName>
    <definedName name="Título_Avalúo_Largo" localSheetId="1">'[1]Ajustes Subrogación'!$B$19</definedName>
    <definedName name="Título_Avalúo_Largo">#REF!</definedName>
    <definedName name="Título_Avalúo_Oferta_Vinculante" localSheetId="2">'[1]Ajustes Subrogación'!$B$25</definedName>
    <definedName name="Título_Avalúo_Oferta_Vinculante" localSheetId="1">'[1]Ajustes Subrogación'!$B$25</definedName>
    <definedName name="Título_Avalúo_Oferta_Vinculante">#REF!</definedName>
    <definedName name="Título_Comisión_por_Apertura_1" localSheetId="2">'[1]Ajustes Subrogación'!$B$45</definedName>
    <definedName name="Título_Comisión_por_Apertura_1" localSheetId="1">'[1]Ajustes Subrogación'!$B$45</definedName>
    <definedName name="Título_Comisión_por_Apertura_1">#REF!</definedName>
    <definedName name="Título_Comisión_por_Apertura_2" localSheetId="2">'[1]Ajustes Subrogación'!$B$50</definedName>
    <definedName name="Título_Comisión_por_Apertura_2" localSheetId="1">'[1]Ajustes Subrogación'!$B$50</definedName>
    <definedName name="Título_Comisión_por_Apertura_2">#REF!</definedName>
    <definedName name="Título_Comisión_por_Apertura_3" localSheetId="2">'[1]Ajustes Subrogación'!$B$57</definedName>
    <definedName name="Título_Comisión_por_Apertura_3" localSheetId="1">'[1]Ajustes Subrogación'!$B$57</definedName>
    <definedName name="Título_Comisión_por_Apertura_3">#REF!</definedName>
    <definedName name="Título_Comisión_por_Apertura_General" localSheetId="2">'[1]Ajustes Subrogación'!$B$48</definedName>
    <definedName name="Título_Comisión_por_Apertura_General" localSheetId="1">'[1]Ajustes Subrogación'!$B$48</definedName>
    <definedName name="Título_Comisión_por_Apertura_General">#REF!</definedName>
    <definedName name="Título_Investigación_Corta_Cotización" localSheetId="2">'[1]Ajustes Subrogación'!$B$33</definedName>
    <definedName name="Título_Investigación_Corta_Cotización" localSheetId="1">'[1]Ajustes Subrogación'!$B$33</definedName>
    <definedName name="Título_Investigación_Corta_Cotización">#REF!</definedName>
    <definedName name="Título_Investigación_Larga_Cotización" localSheetId="2">'[1]Ajustes Subrogación'!$B$34</definedName>
    <definedName name="Título_Investigación_Larga_Cotización" localSheetId="1">'[1]Ajustes Subrogación'!$B$34</definedName>
    <definedName name="Título_Investigación_Larga_Cotización">#REF!</definedName>
    <definedName name="_xlnm.Print_Titles" localSheetId="0">Carátula!$1:$43</definedName>
    <definedName name="_xlnm.Print_Titles" localSheetId="1">'Tabla Notaría'!$1:$11</definedName>
    <definedName name="Tope_Aport_Adicional_Cofinavit" localSheetId="2">'[1]Crédito Banorte'!$D$55</definedName>
    <definedName name="Tope_Aport_Adicional_Cofinavit" localSheetId="1">'[1]Crédito Banorte'!$D$55</definedName>
    <definedName name="Tope_Aport_Adicional_Cofinavit">#REF!</definedName>
    <definedName name="Tope_Aport_Adicional_Fovissste" localSheetId="2">'[1]Crédito Banorte'!$D$54</definedName>
    <definedName name="Tope_Aport_Adicional_Fovissste" localSheetId="1">'[1]Crédito Banorte'!$D$54</definedName>
    <definedName name="Tope_Aport_Adicional_Fovissste">#REF!</definedName>
    <definedName name="Tope_Aportación_Adicional" localSheetId="2">'[1]Crédito Banorte'!$D$56</definedName>
    <definedName name="Tope_Aportación_Adicional" localSheetId="1">'[1]Crédito Banorte'!$D$56</definedName>
    <definedName name="Tope_Aportación_Adicional">#REF!</definedName>
    <definedName name="Tope_Aportación_Adicional2" localSheetId="2">'[1]Crédito Banorte'!$D$57</definedName>
    <definedName name="Tope_Aportación_Adicional2" localSheetId="1">'[1]Crédito Banorte'!$D$57</definedName>
    <definedName name="Tope_Aportación_Adicional2">#REF!</definedName>
    <definedName name="Tope_Aportación_Patronal" localSheetId="2">[1]Validaciones!$G$34</definedName>
    <definedName name="Tope_Aportación_Patronal" localSheetId="1">[1]Validaciones!$G$34</definedName>
    <definedName name="Tope_Aportación_Patronal">#REF!</definedName>
    <definedName name="Tope_en_UDIS" localSheetId="2">'[1]UDIS y SM'!$B$14</definedName>
    <definedName name="Tope_en_UDIS" localSheetId="1">'[1]UDIS y SM'!$B$14</definedName>
    <definedName name="Tope_en_UDIS">#REF!</definedName>
    <definedName name="Tope_para_Comisión_Avalúo" localSheetId="2">#REF!</definedName>
    <definedName name="Tope_para_Comisión_Avalúo" localSheetId="1">#REF!</definedName>
    <definedName name="Tope_para_Comisión_Avalúo">#REF!</definedName>
    <definedName name="UDIS" localSheetId="2">'[1]UDIS y SM'!$B$13</definedName>
    <definedName name="UDIS" localSheetId="1">'[1]UDIS y SM'!$B$13</definedName>
    <definedName name="UDIS">#REF!</definedName>
    <definedName name="UmbralRecursosExcedidosCofi" localSheetId="2">#REF!</definedName>
    <definedName name="UmbralRecursosExcedidosCofi" localSheetId="1">#REF!</definedName>
    <definedName name="UmbralRecursosExcedidosCofi">#REF!</definedName>
    <definedName name="Un_mdp" localSheetId="2">'[1]Rango de Vivienda'!$B$3</definedName>
    <definedName name="Un_mdp" localSheetId="1">'[1]Rango de Vivienda'!$B$3</definedName>
    <definedName name="Un_mdp">#REF!</definedName>
    <definedName name="VA" localSheetId="2">'[1]Crédito Banorte'!$O$61</definedName>
    <definedName name="VA" localSheetId="1">'[1]Crédito Banorte'!$O$61</definedName>
    <definedName name="VA">#REF!</definedName>
    <definedName name="VAA" localSheetId="2">'[1]Crédito Banorte'!$O$65</definedName>
    <definedName name="VAA" localSheetId="1">'[1]Crédito Banorte'!$O$65</definedName>
    <definedName name="VAA">#REF!</definedName>
    <definedName name="Valor_avalúo" localSheetId="2">'[1]Crédito Banorte'!$C$49</definedName>
    <definedName name="Valor_avalúo" localSheetId="1">'[1]Crédito Banorte'!$C$49</definedName>
    <definedName name="Valor_avalúo">#REF!</definedName>
    <definedName name="Valor_avalúo_con_incremento" localSheetId="2">'[1]Crédito Banorte'!$C$72</definedName>
    <definedName name="Valor_avalúo_con_incremento" localSheetId="1">'[1]Crédito Banorte'!$C$72</definedName>
    <definedName name="Valor_avalúo_con_incremento">#REF!</definedName>
    <definedName name="Valor_avalúo_con_incremento_directo" localSheetId="2">#REF!</definedName>
    <definedName name="Valor_avalúo_con_incremento_directo" localSheetId="1">#REF!</definedName>
    <definedName name="Valor_avalúo_con_incremento_directo">#REF!</definedName>
    <definedName name="Valor_avalúo_sin_incremento" localSheetId="2">'[1]Crédito Banorte'!$C$73</definedName>
    <definedName name="Valor_avalúo_sin_incremento" localSheetId="1">'[1]Crédito Banorte'!$C$73</definedName>
    <definedName name="Valor_avalúo_sin_incremento">#REF!</definedName>
    <definedName name="Valor_Máximo_vivienda" localSheetId="2">'[1]Pass-Throughs'!$B$29</definedName>
    <definedName name="Valor_Máximo_vivienda" localSheetId="1">'[1]Pass-Throughs'!$B$29</definedName>
    <definedName name="Valor_Máximo_vivienda">#REF!</definedName>
    <definedName name="Valor_mínimo_de_Crédito" localSheetId="2">#REF!</definedName>
    <definedName name="Valor_mínimo_de_Crédito" localSheetId="1">#REF!</definedName>
    <definedName name="Valor_mínimo_de_Crédito">#REF!</definedName>
    <definedName name="Valor_mínimo_Vivienda" localSheetId="2">#REF!</definedName>
    <definedName name="Valor_mínimo_Vivienda" localSheetId="1">#REF!</definedName>
    <definedName name="Valor_mínimo_Vivienda">#REF!</definedName>
    <definedName name="Valor_vivienda_Apoyo" localSheetId="2">'[1]PASO6 APOYO'!$F$10</definedName>
    <definedName name="Valor_vivienda_Apoyo" localSheetId="1">'[1]PASO6 APOYO'!$F$10</definedName>
    <definedName name="Valor_vivienda_Apoyo">#REF!</definedName>
    <definedName name="Valor_vivienda_Cofinavit" localSheetId="2">'[1]PASO6 COFINAVIT'!$F$9</definedName>
    <definedName name="Valor_vivienda_Cofinavit" localSheetId="1">'[1]PASO6 COFINAVIT'!$F$9</definedName>
    <definedName name="Valor_vivienda_Cofinavit">#REF!</definedName>
    <definedName name="Valor_vivienda_Fovissste" localSheetId="2">'[1]PASO6 FOVISSSTE'!$F$9</definedName>
    <definedName name="Valor_vivienda_Fovissste" localSheetId="1">'[1]PASO6 FOVISSSTE'!$F$9</definedName>
    <definedName name="Valor_vivienda_Fovissste">#REF!</definedName>
    <definedName name="Valor_vivienda_Tradicional" localSheetId="2">'[1]PASO7 TRAD'!$F$9</definedName>
    <definedName name="Valor_vivienda_Tradicional" localSheetId="1">'[1]PASO7 TRAD'!$F$9</definedName>
    <definedName name="Valor_vivienda_Tradicional">#REF!</definedName>
    <definedName name="Variante.Seguro" localSheetId="2">[1]Variantes!$C$5</definedName>
    <definedName name="Variante.Seguro" localSheetId="1">[1]Variantes!$C$5</definedName>
    <definedName name="Variante.Seguro">#REF!</definedName>
    <definedName name="Variante.Selección" localSheetId="2">[1]Variantes!$A$2</definedName>
    <definedName name="Variante.Selección" localSheetId="1">[1]Variantes!$A$2</definedName>
    <definedName name="Variante.Selección">#REF!</definedName>
    <definedName name="Variante.Tipo_Promo" localSheetId="2">[1]Variantes!$B$5</definedName>
    <definedName name="Variante.Tipo_Promo" localSheetId="1">[1]Variantes!$B$5</definedName>
    <definedName name="Variante.Tipo_Promo">#REF!</definedName>
    <definedName name="VDC_Avalúo" comment="Variable para el Despeje del Crédito" localSheetId="2">'[1]Crédito Banorte'!$C$12</definedName>
    <definedName name="VDC_Avalúo" comment="Variable para el Despeje del Crédito" localSheetId="1">'[1]Crédito Banorte'!$C$12</definedName>
    <definedName name="VDC_Avalúo" comment="Variable para el Despeje del Crédito">#REF!</definedName>
    <definedName name="VDC_Com_Ap" comment="Variable para el Despeje del Crédito" localSheetId="2">'[1]Crédito Banorte'!$C$13</definedName>
    <definedName name="VDC_Com_Ap" comment="Variable para el Despeje del Crédito" localSheetId="1">'[1]Crédito Banorte'!$C$13</definedName>
    <definedName name="VDC_Com_Ap" comment="Variable para el Despeje del Crédito">#REF!</definedName>
    <definedName name="VDC_Com_Av" comment="Variable para el Despeje del Crédito" localSheetId="2">'[1]Crédito Banorte'!$C$14</definedName>
    <definedName name="VDC_Com_Av" comment="Variable para el Despeje del Crédito" localSheetId="1">'[1]Crédito Banorte'!$C$14</definedName>
    <definedName name="VDC_Com_Av" comment="Variable para el Despeje del Crédito">#REF!</definedName>
    <definedName name="VDC_Com_Inv" comment="Variable para el Despeje del Crédito" localSheetId="2">'[1]Crédito Banorte'!$C$16</definedName>
    <definedName name="VDC_Com_Inv" comment="Variable para el Despeje del Crédito" localSheetId="1">'[1]Crédito Banorte'!$C$16</definedName>
    <definedName name="VDC_Com_Inv" comment="Variable para el Despeje del Crédito">#REF!</definedName>
    <definedName name="VDC_Crédito" comment="Variable para el Despeje del Crédito" localSheetId="2">'[1]Crédito Banorte'!$C$11</definedName>
    <definedName name="VDC_Crédito" comment="Variable para el Despeje del Crédito" localSheetId="1">'[1]Crédito Banorte'!$C$11</definedName>
    <definedName name="VDC_Crédito" comment="Variable para el Despeje del Crédito">#REF!</definedName>
    <definedName name="VDC_Gastos_Not" comment="Variable para el Despeje del Crédito" localSheetId="2">'[1]Crédito Banorte'!$C$15</definedName>
    <definedName name="VDC_Gastos_Not" comment="Variable para el Despeje del Crédito" localSheetId="1">'[1]Crédito Banorte'!$C$15</definedName>
    <definedName name="VDC_Gastos_Not" comment="Variable para el Despeje del Crédito">#REF!</definedName>
    <definedName name="VDC_i" comment="Variable para el Despeje del Crédito" localSheetId="2">'[1]Crédito Banorte'!$E$12</definedName>
    <definedName name="VDC_i" comment="Variable para el Despeje del Crédito" localSheetId="1">'[1]Crédito Banorte'!$E$12</definedName>
    <definedName name="VDC_i" comment="Variable para el Despeje del Crédito">#REF!</definedName>
    <definedName name="VDC_n" comment="Variable para el Despeje del Crédito" localSheetId="2">'[1]Crédito Banorte'!$E$11</definedName>
    <definedName name="VDC_n" comment="Variable para el Despeje del Crédito" localSheetId="1">'[1]Crédito Banorte'!$E$11</definedName>
    <definedName name="VDC_n" comment="Variable para el Despeje del Crédito">#REF!</definedName>
    <definedName name="VDP_Avalúo" comment="Variable para Despeje del Pago" localSheetId="2">'[1]Crédito Banorte'!$L$12</definedName>
    <definedName name="VDP_Avalúo" comment="Variable para Despeje del Pago" localSheetId="1">'[1]Crédito Banorte'!$L$12</definedName>
    <definedName name="VDP_Avalúo" comment="Variable para Despeje del Pago">#REF!</definedName>
    <definedName name="VDP_Com_Ap" comment="Variable para Despeje del Pago" localSheetId="2">'[1]Crédito Banorte'!$L$13</definedName>
    <definedName name="VDP_Com_Ap" comment="Variable para Despeje del Pago" localSheetId="1">'[1]Crédito Banorte'!$L$13</definedName>
    <definedName name="VDP_Com_Ap" comment="Variable para Despeje del Pago">#REF!</definedName>
    <definedName name="VDP_Com_Av" comment="Variable para Despeje del Pago" localSheetId="2">'[1]Crédito Banorte'!$L$14</definedName>
    <definedName name="VDP_Com_Av" comment="Variable para Despeje del Pago" localSheetId="1">'[1]Crédito Banorte'!$L$14</definedName>
    <definedName name="VDP_Com_Av" comment="Variable para Despeje del Pago">#REF!</definedName>
    <definedName name="VDP_Com_Inv" comment="Variable para Despeje del Pago" localSheetId="2">'[1]Crédito Banorte'!$L$16</definedName>
    <definedName name="VDP_Com_Inv" comment="Variable para Despeje del Pago" localSheetId="1">'[1]Crédito Banorte'!$L$16</definedName>
    <definedName name="VDP_Com_Inv" comment="Variable para Despeje del Pago">#REF!</definedName>
    <definedName name="VDP_Crédito" comment="Variable para Despeje del Pago" localSheetId="2">'[1]Crédito Banorte'!$L$11</definedName>
    <definedName name="VDP_Crédito" comment="Variable para Despeje del Pago" localSheetId="1">'[1]Crédito Banorte'!$L$11</definedName>
    <definedName name="VDP_Crédito" comment="Variable para Despeje del Pago">#REF!</definedName>
    <definedName name="VDP_Gastos_Not" comment="Variable para Despeje del Pago" localSheetId="2">'[1]Crédito Banorte'!$L$15</definedName>
    <definedName name="VDP_Gastos_Not" comment="Variable para Despeje del Pago" localSheetId="1">'[1]Crédito Banorte'!$L$15</definedName>
    <definedName name="VDP_Gastos_Not" comment="Variable para Despeje del Pago">#REF!</definedName>
    <definedName name="VDP_i" comment="Variable para Despeje del Pago" localSheetId="2">'[1]Crédito Banorte'!$N$12</definedName>
    <definedName name="VDP_i" comment="Variable para Despeje del Pago" localSheetId="1">'[1]Crédito Banorte'!$N$12</definedName>
    <definedName name="VDP_i" comment="Variable para Despeje del Pago">#REF!</definedName>
    <definedName name="VDP_n" comment="Variable para Despeje del Pago" localSheetId="2">'[1]Crédito Banorte'!$N$11</definedName>
    <definedName name="VDP_n" comment="Variable para Despeje del Pago" localSheetId="1">'[1]Crédito Banorte'!$N$11</definedName>
    <definedName name="VDP_n" comment="Variable para Despeje del Pago">#REF!</definedName>
    <definedName name="VSM_para_Crédito_FOVISSSTE" localSheetId="2">#REF!</definedName>
    <definedName name="VSM_para_Crédito_FOVISSSTE" localSheetId="1">#REF!</definedName>
    <definedName name="VSM_para_Crédito_FOVISSSTE">#REF!</definedName>
    <definedName name="VSM_para_crédito_INFONAVIT_Cónyuge" localSheetId="2">#REF!</definedName>
    <definedName name="VSM_para_crédito_INFONAVIT_Cónyuge" localSheetId="1">#REF!</definedName>
    <definedName name="VSM_para_crédito_INFONAVIT_Cónyuge">#REF!</definedName>
    <definedName name="VSM_para_crédito_INFONAVIT_Titular" localSheetId="2">#REF!</definedName>
    <definedName name="VSM_para_crédito_INFONAVIT_Titular" localSheetId="1">#REF!</definedName>
    <definedName name="VSM_para_crédito_INFONAVIT_Titular">#REF!</definedName>
    <definedName name="VSM_para_Ingreso" localSheetId="2">#REF!</definedName>
    <definedName name="VSM_para_Ingreso" localSheetId="1">#REF!</definedName>
    <definedName name="VSM_para_Ingreso">#REF!</definedName>
    <definedName name="VSM_para_SSV" localSheetId="2">#REF!</definedName>
    <definedName name="VSM_para_SSV" localSheetId="1">#REF!</definedName>
    <definedName name="VSM_para_SS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2" l="1"/>
  <c r="B39" i="11"/>
  <c r="B29" i="11"/>
  <c r="B26" i="11"/>
  <c r="B27" i="11" s="1"/>
  <c r="B21" i="11"/>
  <c r="B17" i="11"/>
  <c r="B16" i="11"/>
  <c r="D168" i="11"/>
  <c r="D129" i="11"/>
  <c r="A122" i="11"/>
  <c r="I121" i="11"/>
  <c r="A72" i="11"/>
  <c r="A57" i="11"/>
  <c r="A52" i="11"/>
  <c r="B52" i="11" s="1"/>
  <c r="E48" i="11"/>
  <c r="A48" i="11"/>
  <c r="K46" i="11"/>
  <c r="E46" i="11"/>
  <c r="A46" i="11"/>
  <c r="A45" i="11"/>
  <c r="D43" i="11"/>
  <c r="D42" i="11"/>
  <c r="D41" i="11"/>
  <c r="E39" i="11"/>
  <c r="D39" i="11"/>
  <c r="D38" i="11"/>
  <c r="A36" i="11"/>
  <c r="D33" i="11"/>
  <c r="M31" i="11"/>
  <c r="D32" i="11" s="1"/>
  <c r="D31" i="11"/>
  <c r="K29" i="11"/>
  <c r="K26" i="11"/>
  <c r="B38" i="11" s="1"/>
  <c r="I24" i="11"/>
  <c r="A24" i="11"/>
  <c r="J17" i="11"/>
  <c r="H18" i="11" s="1"/>
  <c r="H16" i="11" s="1"/>
  <c r="H17" i="11"/>
  <c r="F17" i="1" l="1"/>
  <c r="K1" i="2"/>
  <c r="N10" i="2" s="1"/>
  <c r="R12" i="2"/>
  <c r="G2" i="8" s="1"/>
  <c r="H28" i="1"/>
  <c r="H27" i="1"/>
  <c r="H26" i="1"/>
  <c r="H25" i="1"/>
  <c r="C8" i="10"/>
  <c r="B37" i="1"/>
  <c r="N17" i="2"/>
  <c r="N17" i="1"/>
  <c r="N15" i="1"/>
  <c r="B22" i="11" s="1"/>
  <c r="L27" i="2"/>
  <c r="L25" i="2"/>
  <c r="L23" i="2"/>
  <c r="N23" i="2" s="1"/>
  <c r="F7" i="1"/>
  <c r="E3" i="11" s="1"/>
  <c r="E129" i="11" s="1"/>
  <c r="E168" i="11" s="1"/>
  <c r="L17" i="2"/>
  <c r="L16" i="2"/>
  <c r="N16" i="2"/>
  <c r="M17" i="2"/>
  <c r="M16" i="2"/>
  <c r="G1" i="5"/>
  <c r="L28" i="1" s="1"/>
  <c r="N43" i="1" l="1"/>
  <c r="F44" i="1"/>
  <c r="H3" i="7" s="1"/>
  <c r="H7" i="8"/>
  <c r="R4" i="2"/>
  <c r="O4" i="8"/>
  <c r="I43" i="1"/>
  <c r="M24" i="2"/>
  <c r="N19" i="1"/>
  <c r="M21" i="1" s="1"/>
  <c r="M23" i="2"/>
  <c r="N24" i="2" s="1"/>
  <c r="I21" i="1" s="1"/>
  <c r="O17" i="2"/>
  <c r="O16" i="2"/>
  <c r="J13" i="2"/>
  <c r="Q6" i="2"/>
  <c r="E1" i="5"/>
  <c r="N44" i="1"/>
  <c r="N9" i="2"/>
  <c r="C4" i="10"/>
  <c r="C6" i="10"/>
  <c r="D3" i="7" l="1"/>
  <c r="B3" i="7"/>
  <c r="C7" i="10"/>
  <c r="B18" i="11"/>
  <c r="B3" i="8"/>
  <c r="K18" i="2"/>
  <c r="K15" i="2"/>
  <c r="B4" i="8"/>
  <c r="B2" i="8"/>
  <c r="H2" i="7"/>
  <c r="E2" i="7"/>
  <c r="D2" i="7"/>
  <c r="C2" i="7"/>
  <c r="J14" i="2" l="1"/>
  <c r="B6" i="6"/>
  <c r="F7" i="6" s="1"/>
  <c r="F13" i="6" s="1"/>
  <c r="C12" i="6"/>
  <c r="H30" i="1"/>
  <c r="D29" i="5"/>
  <c r="D13" i="5"/>
  <c r="L29" i="1" l="1"/>
  <c r="H46" i="11" s="1"/>
  <c r="E47" i="11" s="1"/>
  <c r="I7" i="6"/>
  <c r="F6" i="6"/>
  <c r="F9" i="6" s="1"/>
  <c r="F14" i="6" s="1"/>
  <c r="F10" i="6" l="1"/>
  <c r="F12" i="6" l="1"/>
  <c r="I5" i="6" s="1"/>
  <c r="I6" i="6"/>
  <c r="O3" i="8" s="1"/>
  <c r="L27" i="1" l="1"/>
  <c r="L32" i="1" s="1"/>
  <c r="N6" i="2"/>
  <c r="D12" i="4" l="1"/>
  <c r="D13" i="4" s="1"/>
  <c r="D14" i="4" s="1"/>
  <c r="D15" i="4" s="1"/>
  <c r="D16" i="4" s="1"/>
  <c r="E44" i="1"/>
  <c r="H31" i="1"/>
  <c r="R1" i="2" s="1"/>
  <c r="H29" i="1"/>
  <c r="B1" i="8" s="1"/>
  <c r="A8" i="8" s="1"/>
  <c r="H8" i="8" s="1"/>
  <c r="B2" i="4"/>
  <c r="L44" i="1" l="1"/>
  <c r="B40" i="11" s="1"/>
  <c r="O2" i="8"/>
  <c r="O5" i="8" s="1"/>
  <c r="B13" i="10"/>
  <c r="A9" i="8"/>
  <c r="H9" i="8" s="1"/>
  <c r="B45" i="1"/>
  <c r="H1" i="7"/>
  <c r="H1" i="4"/>
  <c r="L44" i="4" s="1"/>
  <c r="D10" i="4"/>
  <c r="K45" i="1" l="1"/>
  <c r="N45" i="1"/>
  <c r="C3" i="7"/>
  <c r="B14" i="10"/>
  <c r="A10" i="8"/>
  <c r="H10" i="8" s="1"/>
  <c r="E45" i="1"/>
  <c r="K341" i="4"/>
  <c r="A4" i="7"/>
  <c r="B46" i="1"/>
  <c r="Q44" i="1"/>
  <c r="L257" i="4"/>
  <c r="L154" i="4"/>
  <c r="K319" i="4"/>
  <c r="K252" i="4"/>
  <c r="L32" i="4"/>
  <c r="L101" i="4"/>
  <c r="L54" i="4"/>
  <c r="L13" i="4"/>
  <c r="L129" i="4"/>
  <c r="L282" i="4"/>
  <c r="L16" i="4"/>
  <c r="L229" i="4"/>
  <c r="K291" i="4"/>
  <c r="K332" i="4"/>
  <c r="L332" i="4"/>
  <c r="K266" i="4"/>
  <c r="L207" i="4"/>
  <c r="L304" i="4"/>
  <c r="L357" i="4"/>
  <c r="L79" i="4"/>
  <c r="K313" i="4"/>
  <c r="L26" i="4"/>
  <c r="L335" i="4"/>
  <c r="L264" i="4"/>
  <c r="L228" i="4"/>
  <c r="K245" i="4"/>
  <c r="L33" i="4"/>
  <c r="L161" i="4"/>
  <c r="L289" i="4"/>
  <c r="K298" i="4"/>
  <c r="L86" i="4"/>
  <c r="L214" i="4"/>
  <c r="L342" i="4"/>
  <c r="K351" i="4"/>
  <c r="L139" i="4"/>
  <c r="L267" i="4"/>
  <c r="K308" i="4"/>
  <c r="K272" i="4"/>
  <c r="L310" i="4"/>
  <c r="L235" i="4"/>
  <c r="L336" i="4"/>
  <c r="K270" i="4"/>
  <c r="K323" i="4"/>
  <c r="K288" i="4"/>
  <c r="L248" i="4"/>
  <c r="L212" i="4"/>
  <c r="K249" i="4"/>
  <c r="L37" i="4"/>
  <c r="L165" i="4"/>
  <c r="L293" i="4"/>
  <c r="K302" i="4"/>
  <c r="L90" i="4"/>
  <c r="L218" i="4"/>
  <c r="L346" i="4"/>
  <c r="K355" i="4"/>
  <c r="L143" i="4"/>
  <c r="L271" i="4"/>
  <c r="L288" i="4"/>
  <c r="L252" i="4"/>
  <c r="L8" i="4"/>
  <c r="L261" i="4"/>
  <c r="L314" i="4"/>
  <c r="K312" i="4"/>
  <c r="L136" i="4"/>
  <c r="L100" i="4"/>
  <c r="K277" i="4"/>
  <c r="L65" i="4"/>
  <c r="L193" i="4"/>
  <c r="L321" i="4"/>
  <c r="K330" i="4"/>
  <c r="L118" i="4"/>
  <c r="L246" i="4"/>
  <c r="K255" i="4"/>
  <c r="L43" i="4"/>
  <c r="L171" i="4"/>
  <c r="L299" i="4"/>
  <c r="L176" i="4"/>
  <c r="K345" i="4"/>
  <c r="L58" i="4"/>
  <c r="L239" i="4"/>
  <c r="L120" i="4"/>
  <c r="L84" i="4"/>
  <c r="K281" i="4"/>
  <c r="L69" i="4"/>
  <c r="L197" i="4"/>
  <c r="L325" i="4"/>
  <c r="K334" i="4"/>
  <c r="L122" i="4"/>
  <c r="L250" i="4"/>
  <c r="K259" i="4"/>
  <c r="L47" i="4"/>
  <c r="L175" i="4"/>
  <c r="L303" i="4"/>
  <c r="L160" i="4"/>
  <c r="L182" i="4"/>
  <c r="L107" i="4"/>
  <c r="L363" i="4"/>
  <c r="L11" i="4"/>
  <c r="L133" i="4"/>
  <c r="L186" i="4"/>
  <c r="L111" i="4"/>
  <c r="L20" i="4"/>
  <c r="L5" i="4"/>
  <c r="D45" i="1" s="1"/>
  <c r="K309" i="4"/>
  <c r="L97" i="4"/>
  <c r="L225" i="4"/>
  <c r="L353" i="4"/>
  <c r="K362" i="4"/>
  <c r="L150" i="4"/>
  <c r="L278" i="4"/>
  <c r="K287" i="4"/>
  <c r="L75" i="4"/>
  <c r="L203" i="4"/>
  <c r="L331" i="4"/>
  <c r="L48" i="4"/>
  <c r="L21" i="4"/>
  <c r="L140" i="4"/>
  <c r="L104" i="4"/>
  <c r="L308" i="4"/>
  <c r="K349" i="4"/>
  <c r="L169" i="4"/>
  <c r="L329" i="4"/>
  <c r="K338" i="4"/>
  <c r="L158" i="4"/>
  <c r="L286" i="4"/>
  <c r="K327" i="4"/>
  <c r="L51" i="4"/>
  <c r="L179" i="4"/>
  <c r="L275" i="4"/>
  <c r="L339" i="4"/>
  <c r="K256" i="4"/>
  <c r="L6" i="4"/>
  <c r="L216" i="4"/>
  <c r="L88" i="4"/>
  <c r="K320" i="4"/>
  <c r="K316" i="4"/>
  <c r="L180" i="4"/>
  <c r="L52" i="4"/>
  <c r="L312" i="4"/>
  <c r="L344" i="4"/>
  <c r="K257" i="4"/>
  <c r="K289" i="4"/>
  <c r="K321" i="4"/>
  <c r="K353" i="4"/>
  <c r="L45" i="4"/>
  <c r="L77" i="4"/>
  <c r="L109" i="4"/>
  <c r="L141" i="4"/>
  <c r="L173" i="4"/>
  <c r="L205" i="4"/>
  <c r="L237" i="4"/>
  <c r="L269" i="4"/>
  <c r="L301" i="4"/>
  <c r="L333" i="4"/>
  <c r="K246" i="4"/>
  <c r="K278" i="4"/>
  <c r="K310" i="4"/>
  <c r="K342" i="4"/>
  <c r="L34" i="4"/>
  <c r="L66" i="4"/>
  <c r="L98" i="4"/>
  <c r="L130" i="4"/>
  <c r="L162" i="4"/>
  <c r="L194" i="4"/>
  <c r="L226" i="4"/>
  <c r="L258" i="4"/>
  <c r="L290" i="4"/>
  <c r="L322" i="4"/>
  <c r="L354" i="4"/>
  <c r="K267" i="4"/>
  <c r="K299" i="4"/>
  <c r="K331" i="4"/>
  <c r="K363" i="4"/>
  <c r="L55" i="4"/>
  <c r="L87" i="4"/>
  <c r="L119" i="4"/>
  <c r="L151" i="4"/>
  <c r="L183" i="4"/>
  <c r="L215" i="4"/>
  <c r="L247" i="4"/>
  <c r="L279" i="4"/>
  <c r="L311" i="4"/>
  <c r="L343" i="4"/>
  <c r="K276" i="4"/>
  <c r="L256" i="4"/>
  <c r="L128" i="4"/>
  <c r="L18" i="4"/>
  <c r="L188" i="4"/>
  <c r="L156" i="4"/>
  <c r="K348" i="4"/>
  <c r="K253" i="4"/>
  <c r="L73" i="4"/>
  <c r="L233" i="4"/>
  <c r="K274" i="4"/>
  <c r="L94" i="4"/>
  <c r="L254" i="4"/>
  <c r="K295" i="4"/>
  <c r="L83" i="4"/>
  <c r="L243" i="4"/>
  <c r="L272" i="4"/>
  <c r="K360" i="4"/>
  <c r="K328" i="4"/>
  <c r="K356" i="4"/>
  <c r="L200" i="4"/>
  <c r="L72" i="4"/>
  <c r="K296" i="4"/>
  <c r="L292" i="4"/>
  <c r="L164" i="4"/>
  <c r="L36" i="4"/>
  <c r="L316" i="4"/>
  <c r="L348" i="4"/>
  <c r="K261" i="4"/>
  <c r="K293" i="4"/>
  <c r="K325" i="4"/>
  <c r="K357" i="4"/>
  <c r="L49" i="4"/>
  <c r="L81" i="4"/>
  <c r="L113" i="4"/>
  <c r="L145" i="4"/>
  <c r="L177" i="4"/>
  <c r="L209" i="4"/>
  <c r="L241" i="4"/>
  <c r="L273" i="4"/>
  <c r="L305" i="4"/>
  <c r="L337" i="4"/>
  <c r="K250" i="4"/>
  <c r="K282" i="4"/>
  <c r="K314" i="4"/>
  <c r="K346" i="4"/>
  <c r="L38" i="4"/>
  <c r="L70" i="4"/>
  <c r="L102" i="4"/>
  <c r="L134" i="4"/>
  <c r="L166" i="4"/>
  <c r="L198" i="4"/>
  <c r="L230" i="4"/>
  <c r="L262" i="4"/>
  <c r="L294" i="4"/>
  <c r="L326" i="4"/>
  <c r="L358" i="4"/>
  <c r="K271" i="4"/>
  <c r="K303" i="4"/>
  <c r="K335" i="4"/>
  <c r="L27" i="4"/>
  <c r="L59" i="4"/>
  <c r="L91" i="4"/>
  <c r="L123" i="4"/>
  <c r="L155" i="4"/>
  <c r="L187" i="4"/>
  <c r="L219" i="4"/>
  <c r="L251" i="4"/>
  <c r="L283" i="4"/>
  <c r="L315" i="4"/>
  <c r="L347" i="4"/>
  <c r="K260" i="4"/>
  <c r="L240" i="4"/>
  <c r="L112" i="4"/>
  <c r="L12" i="4"/>
  <c r="L300" i="4"/>
  <c r="L204" i="4"/>
  <c r="K352" i="4"/>
  <c r="L340" i="4"/>
  <c r="L41" i="4"/>
  <c r="L201" i="4"/>
  <c r="L361" i="4"/>
  <c r="L62" i="4"/>
  <c r="L222" i="4"/>
  <c r="L318" i="4"/>
  <c r="K359" i="4"/>
  <c r="L147" i="4"/>
  <c r="L211" i="4"/>
  <c r="L307" i="4"/>
  <c r="L144" i="4"/>
  <c r="K300" i="4"/>
  <c r="K324" i="4"/>
  <c r="L184" i="4"/>
  <c r="L56" i="4"/>
  <c r="K280" i="4"/>
  <c r="L276" i="4"/>
  <c r="L148" i="4"/>
  <c r="L23" i="4"/>
  <c r="L320" i="4"/>
  <c r="L352" i="4"/>
  <c r="K265" i="4"/>
  <c r="K297" i="4"/>
  <c r="K329" i="4"/>
  <c r="K361" i="4"/>
  <c r="L53" i="4"/>
  <c r="L85" i="4"/>
  <c r="L117" i="4"/>
  <c r="L149" i="4"/>
  <c r="L181" i="4"/>
  <c r="L213" i="4"/>
  <c r="L245" i="4"/>
  <c r="L277" i="4"/>
  <c r="L309" i="4"/>
  <c r="L341" i="4"/>
  <c r="K254" i="4"/>
  <c r="K286" i="4"/>
  <c r="K318" i="4"/>
  <c r="K350" i="4"/>
  <c r="L42" i="4"/>
  <c r="L74" i="4"/>
  <c r="L106" i="4"/>
  <c r="L138" i="4"/>
  <c r="L170" i="4"/>
  <c r="L202" i="4"/>
  <c r="L234" i="4"/>
  <c r="L266" i="4"/>
  <c r="L298" i="4"/>
  <c r="L330" i="4"/>
  <c r="L362" i="4"/>
  <c r="K275" i="4"/>
  <c r="K307" i="4"/>
  <c r="K339" i="4"/>
  <c r="L31" i="4"/>
  <c r="L63" i="4"/>
  <c r="L95" i="4"/>
  <c r="L127" i="4"/>
  <c r="L159" i="4"/>
  <c r="L191" i="4"/>
  <c r="L223" i="4"/>
  <c r="L255" i="4"/>
  <c r="L287" i="4"/>
  <c r="L319" i="4"/>
  <c r="L351" i="4"/>
  <c r="K244" i="4"/>
  <c r="L224" i="4"/>
  <c r="L96" i="4"/>
  <c r="L172" i="4"/>
  <c r="L108" i="4"/>
  <c r="L14" i="4"/>
  <c r="L9" i="4"/>
  <c r="L196" i="4"/>
  <c r="K285" i="4"/>
  <c r="L137" i="4"/>
  <c r="L297" i="4"/>
  <c r="L30" i="4"/>
  <c r="L190" i="4"/>
  <c r="K263" i="4"/>
  <c r="L115" i="4"/>
  <c r="K292" i="4"/>
  <c r="K284" i="4"/>
  <c r="L296" i="4"/>
  <c r="L168" i="4"/>
  <c r="L40" i="4"/>
  <c r="K264" i="4"/>
  <c r="L260" i="4"/>
  <c r="L132" i="4"/>
  <c r="L19" i="4"/>
  <c r="L324" i="4"/>
  <c r="L356" i="4"/>
  <c r="K269" i="4"/>
  <c r="K301" i="4"/>
  <c r="K333" i="4"/>
  <c r="L25" i="4"/>
  <c r="L57" i="4"/>
  <c r="L89" i="4"/>
  <c r="L121" i="4"/>
  <c r="L153" i="4"/>
  <c r="L185" i="4"/>
  <c r="L217" i="4"/>
  <c r="L249" i="4"/>
  <c r="L281" i="4"/>
  <c r="L313" i="4"/>
  <c r="L345" i="4"/>
  <c r="K258" i="4"/>
  <c r="K290" i="4"/>
  <c r="K322" i="4"/>
  <c r="K354" i="4"/>
  <c r="L46" i="4"/>
  <c r="L78" i="4"/>
  <c r="L110" i="4"/>
  <c r="L142" i="4"/>
  <c r="L174" i="4"/>
  <c r="L206" i="4"/>
  <c r="L238" i="4"/>
  <c r="L270" i="4"/>
  <c r="L302" i="4"/>
  <c r="L334" i="4"/>
  <c r="K247" i="4"/>
  <c r="K279" i="4"/>
  <c r="K311" i="4"/>
  <c r="K343" i="4"/>
  <c r="L35" i="4"/>
  <c r="L67" i="4"/>
  <c r="L99" i="4"/>
  <c r="L131" i="4"/>
  <c r="L163" i="4"/>
  <c r="L195" i="4"/>
  <c r="L227" i="4"/>
  <c r="L259" i="4"/>
  <c r="L291" i="4"/>
  <c r="L323" i="4"/>
  <c r="L355" i="4"/>
  <c r="L15" i="4"/>
  <c r="L208" i="4"/>
  <c r="L80" i="4"/>
  <c r="K336" i="4"/>
  <c r="L284" i="4"/>
  <c r="L17" i="4"/>
  <c r="K344" i="4"/>
  <c r="L232" i="4"/>
  <c r="L68" i="4"/>
  <c r="K317" i="4"/>
  <c r="L105" i="4"/>
  <c r="L265" i="4"/>
  <c r="K306" i="4"/>
  <c r="L126" i="4"/>
  <c r="L350" i="4"/>
  <c r="L22" i="4"/>
  <c r="L28" i="4"/>
  <c r="K268" i="4"/>
  <c r="L280" i="4"/>
  <c r="L152" i="4"/>
  <c r="L24" i="4"/>
  <c r="K248" i="4"/>
  <c r="L244" i="4"/>
  <c r="L116" i="4"/>
  <c r="L10" i="4"/>
  <c r="L328" i="4"/>
  <c r="L360" i="4"/>
  <c r="K273" i="4"/>
  <c r="K305" i="4"/>
  <c r="K337" i="4"/>
  <c r="L29" i="4"/>
  <c r="L61" i="4"/>
  <c r="L93" i="4"/>
  <c r="L125" i="4"/>
  <c r="L157" i="4"/>
  <c r="L189" i="4"/>
  <c r="L221" i="4"/>
  <c r="L253" i="4"/>
  <c r="L285" i="4"/>
  <c r="L317" i="4"/>
  <c r="L349" i="4"/>
  <c r="K262" i="4"/>
  <c r="K294" i="4"/>
  <c r="K326" i="4"/>
  <c r="K358" i="4"/>
  <c r="L50" i="4"/>
  <c r="L82" i="4"/>
  <c r="L114" i="4"/>
  <c r="L146" i="4"/>
  <c r="L178" i="4"/>
  <c r="L210" i="4"/>
  <c r="L242" i="4"/>
  <c r="L274" i="4"/>
  <c r="L306" i="4"/>
  <c r="L338" i="4"/>
  <c r="K251" i="4"/>
  <c r="K283" i="4"/>
  <c r="K315" i="4"/>
  <c r="K347" i="4"/>
  <c r="L39" i="4"/>
  <c r="L71" i="4"/>
  <c r="L103" i="4"/>
  <c r="L135" i="4"/>
  <c r="L167" i="4"/>
  <c r="L199" i="4"/>
  <c r="L231" i="4"/>
  <c r="L263" i="4"/>
  <c r="L295" i="4"/>
  <c r="L327" i="4"/>
  <c r="L359" i="4"/>
  <c r="K340" i="4"/>
  <c r="L192" i="4"/>
  <c r="L64" i="4"/>
  <c r="K304" i="4"/>
  <c r="L268" i="4"/>
  <c r="L124" i="4"/>
  <c r="L220" i="4"/>
  <c r="L60" i="4"/>
  <c r="L236" i="4"/>
  <c r="L92" i="4"/>
  <c r="L76" i="4"/>
  <c r="L7" i="4"/>
  <c r="K46" i="1" l="1"/>
  <c r="C4" i="7"/>
  <c r="D46" i="1"/>
  <c r="E46" i="1"/>
  <c r="N46" i="1"/>
  <c r="B47" i="1"/>
  <c r="E3" i="7"/>
  <c r="G44" i="1" s="1"/>
  <c r="P44" i="1" s="1"/>
  <c r="F45" i="1" s="1"/>
  <c r="L45" i="1" s="1"/>
  <c r="E8" i="8"/>
  <c r="E9" i="8"/>
  <c r="E7" i="8"/>
  <c r="B7" i="8"/>
  <c r="G7" i="8" s="1"/>
  <c r="J48" i="11" s="1"/>
  <c r="L48" i="11" s="1"/>
  <c r="B48" i="11" s="1"/>
  <c r="J6" i="8"/>
  <c r="B15" i="10"/>
  <c r="A11" i="8"/>
  <c r="H11" i="8" s="1"/>
  <c r="E10" i="8"/>
  <c r="A5" i="7"/>
  <c r="C5" i="7" s="1"/>
  <c r="D47" i="1" l="1"/>
  <c r="E47" i="1"/>
  <c r="K47" i="1"/>
  <c r="N47" i="1"/>
  <c r="B48" i="1"/>
  <c r="C12" i="10"/>
  <c r="F7" i="8"/>
  <c r="D7" i="8"/>
  <c r="C7" i="8" s="1"/>
  <c r="D12" i="10" s="1"/>
  <c r="H45" i="1"/>
  <c r="I45" i="1" s="1"/>
  <c r="Q45" i="1"/>
  <c r="B4" i="7"/>
  <c r="B16" i="10"/>
  <c r="A12" i="8"/>
  <c r="H12" i="8" s="1"/>
  <c r="E11" i="8"/>
  <c r="J45" i="1"/>
  <c r="A6" i="7"/>
  <c r="C6" i="7" s="1"/>
  <c r="I7" i="8" l="1"/>
  <c r="J7" i="8" s="1"/>
  <c r="J47" i="11"/>
  <c r="L47" i="11" s="1"/>
  <c r="B46" i="11" s="1"/>
  <c r="E48" i="1"/>
  <c r="K48" i="1"/>
  <c r="D48" i="1"/>
  <c r="B49" i="1"/>
  <c r="E12" i="10"/>
  <c r="N48" i="1"/>
  <c r="B8" i="8"/>
  <c r="F8" i="8" s="1"/>
  <c r="E4" i="7"/>
  <c r="D4" i="7"/>
  <c r="B17" i="10"/>
  <c r="A13" i="8"/>
  <c r="H13" i="8" s="1"/>
  <c r="E12" i="8"/>
  <c r="A7" i="7"/>
  <c r="B3" i="4"/>
  <c r="K3" i="4"/>
  <c r="B4" i="4"/>
  <c r="B5" i="4"/>
  <c r="B7" i="4"/>
  <c r="G45" i="1" l="1"/>
  <c r="P45" i="1" s="1"/>
  <c r="F46" i="1" s="1"/>
  <c r="K49" i="1"/>
  <c r="E49" i="1"/>
  <c r="B50" i="1"/>
  <c r="N49" i="1"/>
  <c r="C7" i="7"/>
  <c r="D49" i="1"/>
  <c r="D8" i="8"/>
  <c r="C8" i="8" s="1"/>
  <c r="D13" i="10" s="1"/>
  <c r="C13" i="10"/>
  <c r="G8" i="8"/>
  <c r="I8" i="8" s="1"/>
  <c r="J8" i="8" s="1"/>
  <c r="B18" i="10"/>
  <c r="A14" i="8"/>
  <c r="H14" i="8" s="1"/>
  <c r="E13" i="8"/>
  <c r="A8" i="7"/>
  <c r="C4" i="4"/>
  <c r="G11" i="4" s="1"/>
  <c r="C10" i="4"/>
  <c r="C3" i="4"/>
  <c r="D3" i="4" s="1"/>
  <c r="N2" i="4"/>
  <c r="K4" i="4" s="1"/>
  <c r="C44" i="1" s="1"/>
  <c r="B10" i="4"/>
  <c r="B8" i="4"/>
  <c r="C5" i="4"/>
  <c r="D5" i="4" s="1"/>
  <c r="J46" i="1" l="1"/>
  <c r="L46" i="1"/>
  <c r="K50" i="1"/>
  <c r="B51" i="1"/>
  <c r="N50" i="1"/>
  <c r="E50" i="1"/>
  <c r="D50" i="1"/>
  <c r="C8" i="7"/>
  <c r="E13" i="10"/>
  <c r="B9" i="8"/>
  <c r="G9" i="8" s="1"/>
  <c r="B19" i="10"/>
  <c r="A15" i="8"/>
  <c r="H15" i="8" s="1"/>
  <c r="E14" i="8"/>
  <c r="Q46" i="1"/>
  <c r="H46" i="1"/>
  <c r="I46" i="1" s="1"/>
  <c r="B5" i="7"/>
  <c r="A9" i="7"/>
  <c r="K5" i="4"/>
  <c r="C45" i="1" s="1"/>
  <c r="L4" i="4"/>
  <c r="D44" i="1" s="1"/>
  <c r="K44" i="1" s="1"/>
  <c r="D4" i="4"/>
  <c r="D6" i="4" s="1"/>
  <c r="K51" i="1" l="1"/>
  <c r="C9" i="7"/>
  <c r="D51" i="1"/>
  <c r="N51" i="1"/>
  <c r="E51" i="1"/>
  <c r="B52" i="1"/>
  <c r="D9" i="8"/>
  <c r="C9" i="8" s="1"/>
  <c r="B10" i="8" s="1"/>
  <c r="G10" i="8" s="1"/>
  <c r="F9" i="8"/>
  <c r="I9" i="8" s="1"/>
  <c r="J9" i="8" s="1"/>
  <c r="C14" i="10"/>
  <c r="D5" i="7"/>
  <c r="E5" i="7"/>
  <c r="G46" i="1" s="1"/>
  <c r="B20" i="10"/>
  <c r="A16" i="8"/>
  <c r="H16" i="8" s="1"/>
  <c r="E15" i="8"/>
  <c r="A10" i="7"/>
  <c r="C10" i="7" s="1"/>
  <c r="J44" i="1"/>
  <c r="H44" i="1"/>
  <c r="I44" i="1" s="1"/>
  <c r="K6" i="4"/>
  <c r="C46" i="1" s="1"/>
  <c r="K52" i="1" l="1"/>
  <c r="O44" i="1"/>
  <c r="D52" i="1"/>
  <c r="N52" i="1"/>
  <c r="E52" i="1"/>
  <c r="B53" i="1"/>
  <c r="D14" i="10"/>
  <c r="E14" i="10" s="1"/>
  <c r="F10" i="8"/>
  <c r="I10" i="8" s="1"/>
  <c r="J10" i="8" s="1"/>
  <c r="D10" i="8"/>
  <c r="C10" i="8" s="1"/>
  <c r="C15" i="10"/>
  <c r="B21" i="10"/>
  <c r="A17" i="8"/>
  <c r="H17" i="8" s="1"/>
  <c r="E16" i="8"/>
  <c r="P46" i="1"/>
  <c r="F47" i="1" s="1"/>
  <c r="A11" i="7"/>
  <c r="K7" i="4"/>
  <c r="C47" i="1" s="1"/>
  <c r="K53" i="1" l="1"/>
  <c r="Q47" i="1"/>
  <c r="L47" i="1"/>
  <c r="O45" i="1"/>
  <c r="N53" i="1"/>
  <c r="B54" i="1"/>
  <c r="D53" i="1"/>
  <c r="C11" i="7"/>
  <c r="E53" i="1"/>
  <c r="B11" i="8"/>
  <c r="G11" i="8" s="1"/>
  <c r="D15" i="10"/>
  <c r="E15" i="10" s="1"/>
  <c r="J47" i="1"/>
  <c r="B6" i="7"/>
  <c r="H47" i="1"/>
  <c r="I47" i="1" s="1"/>
  <c r="B22" i="10"/>
  <c r="A18" i="8"/>
  <c r="H18" i="8" s="1"/>
  <c r="E17" i="8"/>
  <c r="A12" i="7"/>
  <c r="B55" i="1"/>
  <c r="D54" i="1"/>
  <c r="K8" i="4"/>
  <c r="C48" i="1" s="1"/>
  <c r="C12" i="7" l="1"/>
  <c r="K54" i="1"/>
  <c r="E54" i="1"/>
  <c r="N54" i="1"/>
  <c r="K55" i="1"/>
  <c r="O46" i="1"/>
  <c r="N55" i="1"/>
  <c r="C16" i="10"/>
  <c r="F11" i="8"/>
  <c r="I11" i="8" s="1"/>
  <c r="J11" i="8" s="1"/>
  <c r="D11" i="8"/>
  <c r="C11" i="8" s="1"/>
  <c r="E6" i="7"/>
  <c r="D6" i="7"/>
  <c r="B23" i="10"/>
  <c r="A19" i="8"/>
  <c r="H19" i="8" s="1"/>
  <c r="E18" i="8"/>
  <c r="A13" i="7"/>
  <c r="B56" i="1"/>
  <c r="E55" i="1"/>
  <c r="D55" i="1"/>
  <c r="K9" i="4"/>
  <c r="C49" i="1" s="1"/>
  <c r="G47" i="1" l="1"/>
  <c r="P47" i="1" s="1"/>
  <c r="F48" i="1" s="1"/>
  <c r="L48" i="1" s="1"/>
  <c r="C13" i="7"/>
  <c r="K56" i="1"/>
  <c r="N56" i="1"/>
  <c r="D16" i="10"/>
  <c r="E16" i="10" s="1"/>
  <c r="B12" i="8"/>
  <c r="G12" i="8" s="1"/>
  <c r="B24" i="10"/>
  <c r="A20" i="8"/>
  <c r="H20" i="8" s="1"/>
  <c r="E19" i="8"/>
  <c r="A14" i="7"/>
  <c r="C14" i="7" s="1"/>
  <c r="B57" i="1"/>
  <c r="E56" i="1"/>
  <c r="D56" i="1"/>
  <c r="K10" i="4"/>
  <c r="C50" i="1" s="1"/>
  <c r="J48" i="1" l="1"/>
  <c r="Q48" i="1"/>
  <c r="O47" i="1"/>
  <c r="B7" i="7"/>
  <c r="E7" i="7" s="1"/>
  <c r="H48" i="1"/>
  <c r="I48" i="1" s="1"/>
  <c r="K57" i="1"/>
  <c r="N57" i="1"/>
  <c r="C17" i="10"/>
  <c r="F12" i="8"/>
  <c r="I12" i="8" s="1"/>
  <c r="J12" i="8" s="1"/>
  <c r="D12" i="8"/>
  <c r="C12" i="8" s="1"/>
  <c r="B25" i="10"/>
  <c r="A21" i="8"/>
  <c r="H21" i="8" s="1"/>
  <c r="E20" i="8"/>
  <c r="A15" i="7"/>
  <c r="C15" i="7" s="1"/>
  <c r="B58" i="1"/>
  <c r="E57" i="1"/>
  <c r="D57" i="1"/>
  <c r="K11" i="4"/>
  <c r="C51" i="1" s="1"/>
  <c r="D7" i="7" l="1"/>
  <c r="G48" i="1" s="1"/>
  <c r="K58" i="1"/>
  <c r="N58" i="1"/>
  <c r="B13" i="8"/>
  <c r="G13" i="8" s="1"/>
  <c r="D17" i="10"/>
  <c r="E17" i="10" s="1"/>
  <c r="B26" i="10"/>
  <c r="A22" i="8"/>
  <c r="H22" i="8" s="1"/>
  <c r="E21" i="8"/>
  <c r="A16" i="7"/>
  <c r="C16" i="7" s="1"/>
  <c r="B59" i="1"/>
  <c r="E58" i="1"/>
  <c r="D58" i="1"/>
  <c r="K12" i="4"/>
  <c r="C52" i="1" s="1"/>
  <c r="O48" i="1" l="1"/>
  <c r="P48" i="1"/>
  <c r="F49" i="1" s="1"/>
  <c r="L49" i="1" s="1"/>
  <c r="K59" i="1"/>
  <c r="N59" i="1"/>
  <c r="C18" i="10"/>
  <c r="D13" i="8"/>
  <c r="C13" i="8" s="1"/>
  <c r="D18" i="10" s="1"/>
  <c r="F13" i="8"/>
  <c r="I13" i="8" s="1"/>
  <c r="J13" i="8" s="1"/>
  <c r="B27" i="10"/>
  <c r="A23" i="8"/>
  <c r="H23" i="8" s="1"/>
  <c r="E22" i="8"/>
  <c r="A17" i="7"/>
  <c r="C17" i="7" s="1"/>
  <c r="B60" i="1"/>
  <c r="E59" i="1"/>
  <c r="D59" i="1"/>
  <c r="K13" i="4"/>
  <c r="C53" i="1" s="1"/>
  <c r="B8" i="7" l="1"/>
  <c r="J49" i="1"/>
  <c r="Q49" i="1"/>
  <c r="H49" i="1"/>
  <c r="I49" i="1" s="1"/>
  <c r="K60" i="1"/>
  <c r="E18" i="10"/>
  <c r="N60" i="1"/>
  <c r="B14" i="8"/>
  <c r="G14" i="8" s="1"/>
  <c r="E8" i="7"/>
  <c r="D8" i="7"/>
  <c r="B28" i="10"/>
  <c r="A24" i="8"/>
  <c r="H24" i="8" s="1"/>
  <c r="E23" i="8"/>
  <c r="A18" i="7"/>
  <c r="C18" i="7" s="1"/>
  <c r="B61" i="1"/>
  <c r="E60" i="1"/>
  <c r="D60" i="1"/>
  <c r="K14" i="4"/>
  <c r="C54" i="1" s="1"/>
  <c r="K61" i="1" l="1"/>
  <c r="N61" i="1"/>
  <c r="C19" i="10"/>
  <c r="D14" i="8"/>
  <c r="C14" i="8" s="1"/>
  <c r="F14" i="8"/>
  <c r="I14" i="8" s="1"/>
  <c r="J14" i="8" s="1"/>
  <c r="B29" i="10"/>
  <c r="A25" i="8"/>
  <c r="H25" i="8" s="1"/>
  <c r="E24" i="8"/>
  <c r="G49" i="1"/>
  <c r="A19" i="7"/>
  <c r="C19" i="7" s="1"/>
  <c r="B62" i="1"/>
  <c r="E61" i="1"/>
  <c r="D61" i="1"/>
  <c r="K15" i="4"/>
  <c r="C55" i="1" s="1"/>
  <c r="K62" i="1" l="1"/>
  <c r="P49" i="1"/>
  <c r="F50" i="1" s="1"/>
  <c r="L50" i="1" s="1"/>
  <c r="O49" i="1"/>
  <c r="N62" i="1"/>
  <c r="B15" i="8"/>
  <c r="G15" i="8" s="1"/>
  <c r="D19" i="10"/>
  <c r="E19" i="10" s="1"/>
  <c r="B30" i="10"/>
  <c r="A26" i="8"/>
  <c r="H26" i="8" s="1"/>
  <c r="E25" i="8"/>
  <c r="A20" i="7"/>
  <c r="C20" i="7" s="1"/>
  <c r="B63" i="1"/>
  <c r="E62" i="1"/>
  <c r="D62" i="1"/>
  <c r="K16" i="4"/>
  <c r="C56" i="1" s="1"/>
  <c r="B9" i="7" l="1"/>
  <c r="D9" i="7" s="1"/>
  <c r="Q50" i="1"/>
  <c r="J50" i="1"/>
  <c r="K63" i="1"/>
  <c r="H50" i="1"/>
  <c r="I50" i="1" s="1"/>
  <c r="N63" i="1"/>
  <c r="D15" i="8"/>
  <c r="C15" i="8" s="1"/>
  <c r="F15" i="8"/>
  <c r="I15" i="8" s="1"/>
  <c r="J15" i="8" s="1"/>
  <c r="C20" i="10"/>
  <c r="B31" i="10"/>
  <c r="A27" i="8"/>
  <c r="H27" i="8" s="1"/>
  <c r="E26" i="8"/>
  <c r="A21" i="7"/>
  <c r="C21" i="7" s="1"/>
  <c r="B64" i="1"/>
  <c r="E63" i="1"/>
  <c r="D63" i="1"/>
  <c r="K17" i="4"/>
  <c r="C57" i="1" s="1"/>
  <c r="E9" i="7" l="1"/>
  <c r="K64" i="1"/>
  <c r="N64" i="1"/>
  <c r="B16" i="8"/>
  <c r="G16" i="8" s="1"/>
  <c r="D20" i="10"/>
  <c r="E20" i="10" s="1"/>
  <c r="G50" i="1"/>
  <c r="O50" i="1" s="1"/>
  <c r="B32" i="10"/>
  <c r="A28" i="8"/>
  <c r="H28" i="8" s="1"/>
  <c r="E27" i="8"/>
  <c r="A22" i="7"/>
  <c r="C22" i="7" s="1"/>
  <c r="B65" i="1"/>
  <c r="E64" i="1"/>
  <c r="D64" i="1"/>
  <c r="K18" i="4"/>
  <c r="C58" i="1" s="1"/>
  <c r="K65" i="1" l="1"/>
  <c r="N65" i="1"/>
  <c r="C21" i="10"/>
  <c r="D16" i="8"/>
  <c r="C16" i="8" s="1"/>
  <c r="F16" i="8"/>
  <c r="I16" i="8" s="1"/>
  <c r="J16" i="8" s="1"/>
  <c r="P50" i="1"/>
  <c r="F51" i="1" s="1"/>
  <c r="L51" i="1" s="1"/>
  <c r="B33" i="10"/>
  <c r="A29" i="8"/>
  <c r="H29" i="8" s="1"/>
  <c r="E28" i="8"/>
  <c r="A23" i="7"/>
  <c r="C23" i="7" s="1"/>
  <c r="B66" i="1"/>
  <c r="E65" i="1"/>
  <c r="D65" i="1"/>
  <c r="K19" i="4"/>
  <c r="C59" i="1" s="1"/>
  <c r="K66" i="1" l="1"/>
  <c r="N66" i="1"/>
  <c r="Q51" i="1"/>
  <c r="B10" i="7"/>
  <c r="E10" i="7" s="1"/>
  <c r="J51" i="1"/>
  <c r="H51" i="1"/>
  <c r="I51" i="1" s="1"/>
  <c r="D21" i="10"/>
  <c r="E21" i="10" s="1"/>
  <c r="B17" i="8"/>
  <c r="G17" i="8" s="1"/>
  <c r="B34" i="10"/>
  <c r="A30" i="8"/>
  <c r="H30" i="8" s="1"/>
  <c r="E29" i="8"/>
  <c r="A24" i="7"/>
  <c r="C24" i="7" s="1"/>
  <c r="B67" i="1"/>
  <c r="E66" i="1"/>
  <c r="D66" i="1"/>
  <c r="K20" i="4"/>
  <c r="C60" i="1" s="1"/>
  <c r="K67" i="1" l="1"/>
  <c r="D10" i="7"/>
  <c r="G51" i="1" s="1"/>
  <c r="O51" i="1" s="1"/>
  <c r="N67" i="1"/>
  <c r="C22" i="10"/>
  <c r="D17" i="8"/>
  <c r="C17" i="8" s="1"/>
  <c r="F17" i="8"/>
  <c r="I17" i="8" s="1"/>
  <c r="J17" i="8" s="1"/>
  <c r="B35" i="10"/>
  <c r="A31" i="8"/>
  <c r="H31" i="8" s="1"/>
  <c r="E30" i="8"/>
  <c r="A25" i="7"/>
  <c r="C25" i="7" s="1"/>
  <c r="B68" i="1"/>
  <c r="E67" i="1"/>
  <c r="D67" i="1"/>
  <c r="K21" i="4"/>
  <c r="C61" i="1" s="1"/>
  <c r="K68" i="1" l="1"/>
  <c r="N68" i="1"/>
  <c r="P51" i="1"/>
  <c r="F52" i="1" s="1"/>
  <c r="L52" i="1" s="1"/>
  <c r="B18" i="8"/>
  <c r="G18" i="8" s="1"/>
  <c r="D22" i="10"/>
  <c r="E22" i="10" s="1"/>
  <c r="B36" i="10"/>
  <c r="A32" i="8"/>
  <c r="H32" i="8" s="1"/>
  <c r="E31" i="8"/>
  <c r="A26" i="7"/>
  <c r="C26" i="7" s="1"/>
  <c r="B69" i="1"/>
  <c r="E68" i="1"/>
  <c r="D68" i="1"/>
  <c r="K22" i="4"/>
  <c r="C62" i="1" s="1"/>
  <c r="K69" i="1" l="1"/>
  <c r="Q52" i="1"/>
  <c r="J52" i="1"/>
  <c r="H52" i="1"/>
  <c r="I52" i="1" s="1"/>
  <c r="B11" i="7"/>
  <c r="E11" i="7" s="1"/>
  <c r="N69" i="1"/>
  <c r="F18" i="8"/>
  <c r="I18" i="8" s="1"/>
  <c r="J18" i="8" s="1"/>
  <c r="D18" i="8"/>
  <c r="C18" i="8" s="1"/>
  <c r="C23" i="10"/>
  <c r="B37" i="10"/>
  <c r="A33" i="8"/>
  <c r="H33" i="8" s="1"/>
  <c r="E32" i="8"/>
  <c r="A27" i="7"/>
  <c r="C27" i="7" s="1"/>
  <c r="B70" i="1"/>
  <c r="E69" i="1"/>
  <c r="D69" i="1"/>
  <c r="K23" i="4"/>
  <c r="C63" i="1" s="1"/>
  <c r="K70" i="1" l="1"/>
  <c r="D11" i="7"/>
  <c r="G52" i="1" s="1"/>
  <c r="N70" i="1"/>
  <c r="B19" i="8"/>
  <c r="G19" i="8" s="1"/>
  <c r="D23" i="10"/>
  <c r="E23" i="10" s="1"/>
  <c r="B38" i="10"/>
  <c r="A34" i="8"/>
  <c r="H34" i="8" s="1"/>
  <c r="E33" i="8"/>
  <c r="A28" i="7"/>
  <c r="C28" i="7" s="1"/>
  <c r="B71" i="1"/>
  <c r="E70" i="1"/>
  <c r="D70" i="1"/>
  <c r="K24" i="4"/>
  <c r="C64" i="1" s="1"/>
  <c r="O52" i="1" l="1"/>
  <c r="P52" i="1"/>
  <c r="F53" i="1" s="1"/>
  <c r="L53" i="1" s="1"/>
  <c r="K71" i="1"/>
  <c r="N71" i="1"/>
  <c r="C24" i="10"/>
  <c r="F19" i="8"/>
  <c r="I19" i="8" s="1"/>
  <c r="J19" i="8" s="1"/>
  <c r="D19" i="8"/>
  <c r="C19" i="8" s="1"/>
  <c r="B39" i="10"/>
  <c r="A35" i="8"/>
  <c r="H35" i="8" s="1"/>
  <c r="E34" i="8"/>
  <c r="A29" i="7"/>
  <c r="C29" i="7" s="1"/>
  <c r="B72" i="1"/>
  <c r="E71" i="1"/>
  <c r="D71" i="1"/>
  <c r="K25" i="4"/>
  <c r="C65" i="1" s="1"/>
  <c r="H53" i="1" l="1"/>
  <c r="I53" i="1" s="1"/>
  <c r="J53" i="1"/>
  <c r="B12" i="7"/>
  <c r="E12" i="7" s="1"/>
  <c r="Q53" i="1"/>
  <c r="K72" i="1"/>
  <c r="N72" i="1"/>
  <c r="B20" i="8"/>
  <c r="G20" i="8" s="1"/>
  <c r="D24" i="10"/>
  <c r="E24" i="10" s="1"/>
  <c r="B40" i="10"/>
  <c r="A36" i="8"/>
  <c r="H36" i="8" s="1"/>
  <c r="E35" i="8"/>
  <c r="A30" i="7"/>
  <c r="C30" i="7" s="1"/>
  <c r="B73" i="1"/>
  <c r="E72" i="1"/>
  <c r="D72" i="1"/>
  <c r="K26" i="4"/>
  <c r="C66" i="1" s="1"/>
  <c r="D12" i="7" l="1"/>
  <c r="K73" i="1"/>
  <c r="N73" i="1"/>
  <c r="F20" i="8"/>
  <c r="I20" i="8" s="1"/>
  <c r="J20" i="8" s="1"/>
  <c r="D20" i="8"/>
  <c r="C20" i="8" s="1"/>
  <c r="C25" i="10"/>
  <c r="B41" i="10"/>
  <c r="A37" i="8"/>
  <c r="H37" i="8" s="1"/>
  <c r="E36" i="8"/>
  <c r="A31" i="7"/>
  <c r="C31" i="7" s="1"/>
  <c r="G53" i="1"/>
  <c r="O53" i="1" s="1"/>
  <c r="B74" i="1"/>
  <c r="E73" i="1"/>
  <c r="D73" i="1"/>
  <c r="K27" i="4"/>
  <c r="C67" i="1" s="1"/>
  <c r="K74" i="1" l="1"/>
  <c r="N74" i="1"/>
  <c r="B21" i="8"/>
  <c r="G21" i="8" s="1"/>
  <c r="D25" i="10"/>
  <c r="E25" i="10" s="1"/>
  <c r="B42" i="10"/>
  <c r="A38" i="8"/>
  <c r="H38" i="8" s="1"/>
  <c r="E37" i="8"/>
  <c r="P53" i="1"/>
  <c r="F54" i="1" s="1"/>
  <c r="L54" i="1" s="1"/>
  <c r="A32" i="7"/>
  <c r="C32" i="7" s="1"/>
  <c r="B75" i="1"/>
  <c r="E74" i="1"/>
  <c r="D74" i="1"/>
  <c r="K28" i="4"/>
  <c r="C68" i="1" s="1"/>
  <c r="K75" i="1" l="1"/>
  <c r="N75" i="1"/>
  <c r="F21" i="8"/>
  <c r="I21" i="8" s="1"/>
  <c r="J21" i="8" s="1"/>
  <c r="D21" i="8"/>
  <c r="C21" i="8" s="1"/>
  <c r="C26" i="10"/>
  <c r="B43" i="10"/>
  <c r="A39" i="8"/>
  <c r="H39" i="8" s="1"/>
  <c r="E38" i="8"/>
  <c r="A33" i="7"/>
  <c r="C33" i="7" s="1"/>
  <c r="H54" i="1"/>
  <c r="I54" i="1" s="1"/>
  <c r="J54" i="1"/>
  <c r="Q54" i="1"/>
  <c r="B13" i="7"/>
  <c r="B76" i="1"/>
  <c r="E75" i="1"/>
  <c r="D75" i="1"/>
  <c r="K29" i="4"/>
  <c r="C69" i="1" s="1"/>
  <c r="K76" i="1" l="1"/>
  <c r="N76" i="1"/>
  <c r="B22" i="8"/>
  <c r="G22" i="8" s="1"/>
  <c r="D26" i="10"/>
  <c r="E26" i="10" s="1"/>
  <c r="D13" i="7"/>
  <c r="E13" i="7"/>
  <c r="B44" i="10"/>
  <c r="A40" i="8"/>
  <c r="H40" i="8" s="1"/>
  <c r="E39" i="8"/>
  <c r="A34" i="7"/>
  <c r="C34" i="7" s="1"/>
  <c r="B77" i="1"/>
  <c r="E76" i="1"/>
  <c r="D76" i="1"/>
  <c r="K30" i="4"/>
  <c r="C70" i="1" s="1"/>
  <c r="K77" i="1" l="1"/>
  <c r="N77" i="1"/>
  <c r="F22" i="8"/>
  <c r="I22" i="8" s="1"/>
  <c r="J22" i="8" s="1"/>
  <c r="D22" i="8"/>
  <c r="C22" i="8" s="1"/>
  <c r="C27" i="10"/>
  <c r="G54" i="1"/>
  <c r="B45" i="10"/>
  <c r="A41" i="8"/>
  <c r="H41" i="8" s="1"/>
  <c r="E40" i="8"/>
  <c r="A35" i="7"/>
  <c r="C35" i="7" s="1"/>
  <c r="B78" i="1"/>
  <c r="E77" i="1"/>
  <c r="D77" i="1"/>
  <c r="K31" i="4"/>
  <c r="C71" i="1" s="1"/>
  <c r="K78" i="1" l="1"/>
  <c r="P54" i="1"/>
  <c r="F55" i="1" s="1"/>
  <c r="L55" i="1" s="1"/>
  <c r="O54" i="1"/>
  <c r="N78" i="1"/>
  <c r="D27" i="10"/>
  <c r="E27" i="10" s="1"/>
  <c r="B23" i="8"/>
  <c r="G23" i="8" s="1"/>
  <c r="B46" i="10"/>
  <c r="A42" i="8"/>
  <c r="H42" i="8" s="1"/>
  <c r="E41" i="8"/>
  <c r="A36" i="7"/>
  <c r="C36" i="7" s="1"/>
  <c r="B79" i="1"/>
  <c r="E78" i="1"/>
  <c r="D78" i="1"/>
  <c r="K32" i="4"/>
  <c r="C72" i="1" s="1"/>
  <c r="J55" i="1" l="1"/>
  <c r="Q55" i="1"/>
  <c r="B14" i="7"/>
  <c r="E14" i="7" s="1"/>
  <c r="H55" i="1"/>
  <c r="I55" i="1" s="1"/>
  <c r="K79" i="1"/>
  <c r="N79" i="1"/>
  <c r="C28" i="10"/>
  <c r="F23" i="8"/>
  <c r="I23" i="8" s="1"/>
  <c r="J23" i="8" s="1"/>
  <c r="D23" i="8"/>
  <c r="C23" i="8" s="1"/>
  <c r="B47" i="10"/>
  <c r="A43" i="8"/>
  <c r="H43" i="8" s="1"/>
  <c r="E42" i="8"/>
  <c r="A37" i="7"/>
  <c r="C37" i="7" s="1"/>
  <c r="B80" i="1"/>
  <c r="E79" i="1"/>
  <c r="D79" i="1"/>
  <c r="K33" i="4"/>
  <c r="C73" i="1" s="1"/>
  <c r="D14" i="7" l="1"/>
  <c r="G55" i="1" s="1"/>
  <c r="O55" i="1" s="1"/>
  <c r="K80" i="1"/>
  <c r="N80" i="1"/>
  <c r="B24" i="8"/>
  <c r="G24" i="8" s="1"/>
  <c r="D28" i="10"/>
  <c r="E28" i="10" s="1"/>
  <c r="B48" i="10"/>
  <c r="A44" i="8"/>
  <c r="H44" i="8" s="1"/>
  <c r="E43" i="8"/>
  <c r="A38" i="7"/>
  <c r="C38" i="7" s="1"/>
  <c r="B81" i="1"/>
  <c r="E80" i="1"/>
  <c r="D80" i="1"/>
  <c r="K34" i="4"/>
  <c r="C74" i="1" s="1"/>
  <c r="K81" i="1" l="1"/>
  <c r="P55" i="1"/>
  <c r="F56" i="1" s="1"/>
  <c r="N81" i="1"/>
  <c r="F24" i="8"/>
  <c r="I24" i="8" s="1"/>
  <c r="J24" i="8" s="1"/>
  <c r="C29" i="10"/>
  <c r="D24" i="8"/>
  <c r="C24" i="8" s="1"/>
  <c r="B49" i="10"/>
  <c r="A45" i="8"/>
  <c r="H45" i="8" s="1"/>
  <c r="E44" i="8"/>
  <c r="A39" i="7"/>
  <c r="C39" i="7" s="1"/>
  <c r="B82" i="1"/>
  <c r="E81" i="1"/>
  <c r="D81" i="1"/>
  <c r="K35" i="4"/>
  <c r="C75" i="1" s="1"/>
  <c r="K82" i="1" l="1"/>
  <c r="B15" i="7"/>
  <c r="E15" i="7" s="1"/>
  <c r="L56" i="1"/>
  <c r="H56" i="1"/>
  <c r="I56" i="1" s="1"/>
  <c r="Q56" i="1"/>
  <c r="J56" i="1"/>
  <c r="N82" i="1"/>
  <c r="B25" i="8"/>
  <c r="G25" i="8" s="1"/>
  <c r="D29" i="10"/>
  <c r="E29" i="10" s="1"/>
  <c r="B50" i="10"/>
  <c r="A46" i="8"/>
  <c r="H46" i="8" s="1"/>
  <c r="E45" i="8"/>
  <c r="A40" i="7"/>
  <c r="C40" i="7" s="1"/>
  <c r="E82" i="1"/>
  <c r="B83" i="1"/>
  <c r="D82" i="1"/>
  <c r="K36" i="4"/>
  <c r="C76" i="1" s="1"/>
  <c r="D15" i="7" l="1"/>
  <c r="G56" i="1" s="1"/>
  <c r="K83" i="1"/>
  <c r="N83" i="1"/>
  <c r="F25" i="8"/>
  <c r="I25" i="8" s="1"/>
  <c r="J25" i="8" s="1"/>
  <c r="D25" i="8"/>
  <c r="C25" i="8" s="1"/>
  <c r="C30" i="10"/>
  <c r="B51" i="10"/>
  <c r="A47" i="8"/>
  <c r="H47" i="8" s="1"/>
  <c r="E46" i="8"/>
  <c r="A41" i="7"/>
  <c r="C41" i="7" s="1"/>
  <c r="E83" i="1"/>
  <c r="B84" i="1"/>
  <c r="D83" i="1"/>
  <c r="K37" i="4"/>
  <c r="C77" i="1" s="1"/>
  <c r="O56" i="1" l="1"/>
  <c r="P56" i="1"/>
  <c r="F57" i="1" s="1"/>
  <c r="L57" i="1" s="1"/>
  <c r="K84" i="1"/>
  <c r="N84" i="1"/>
  <c r="B26" i="8"/>
  <c r="G26" i="8" s="1"/>
  <c r="D30" i="10"/>
  <c r="E30" i="10" s="1"/>
  <c r="B52" i="10"/>
  <c r="A48" i="8"/>
  <c r="H48" i="8" s="1"/>
  <c r="E47" i="8"/>
  <c r="A42" i="7"/>
  <c r="C42" i="7" s="1"/>
  <c r="B85" i="1"/>
  <c r="E84" i="1"/>
  <c r="D84" i="1"/>
  <c r="K38" i="4"/>
  <c r="C78" i="1" s="1"/>
  <c r="B16" i="7" l="1"/>
  <c r="H57" i="1"/>
  <c r="I57" i="1" s="1"/>
  <c r="J57" i="1"/>
  <c r="Q57" i="1"/>
  <c r="K85" i="1"/>
  <c r="N85" i="1"/>
  <c r="F26" i="8"/>
  <c r="I26" i="8" s="1"/>
  <c r="J26" i="8" s="1"/>
  <c r="D26" i="8"/>
  <c r="C26" i="8" s="1"/>
  <c r="C31" i="10"/>
  <c r="E16" i="7"/>
  <c r="D16" i="7"/>
  <c r="B53" i="10"/>
  <c r="A49" i="8"/>
  <c r="H49" i="8" s="1"/>
  <c r="E48" i="8"/>
  <c r="A43" i="7"/>
  <c r="C43" i="7" s="1"/>
  <c r="B86" i="1"/>
  <c r="E85" i="1"/>
  <c r="D85" i="1"/>
  <c r="K39" i="4"/>
  <c r="C79" i="1" s="1"/>
  <c r="K86" i="1" l="1"/>
  <c r="N86" i="1"/>
  <c r="B27" i="8"/>
  <c r="G27" i="8" s="1"/>
  <c r="D31" i="10"/>
  <c r="E31" i="10" s="1"/>
  <c r="B54" i="10"/>
  <c r="A50" i="8"/>
  <c r="H50" i="8" s="1"/>
  <c r="E49" i="8"/>
  <c r="G57" i="1"/>
  <c r="A44" i="7"/>
  <c r="C44" i="7" s="1"/>
  <c r="B87" i="1"/>
  <c r="D86" i="1"/>
  <c r="E86" i="1"/>
  <c r="K40" i="4"/>
  <c r="C80" i="1" s="1"/>
  <c r="P57" i="1" l="1"/>
  <c r="F58" i="1" s="1"/>
  <c r="L58" i="1" s="1"/>
  <c r="O57" i="1"/>
  <c r="K87" i="1"/>
  <c r="N87" i="1"/>
  <c r="C32" i="10"/>
  <c r="D27" i="8"/>
  <c r="C27" i="8" s="1"/>
  <c r="F27" i="8"/>
  <c r="I27" i="8" s="1"/>
  <c r="J27" i="8" s="1"/>
  <c r="B55" i="10"/>
  <c r="A51" i="8"/>
  <c r="H51" i="8" s="1"/>
  <c r="E50" i="8"/>
  <c r="A45" i="7"/>
  <c r="C45" i="7" s="1"/>
  <c r="B88" i="1"/>
  <c r="D87" i="1"/>
  <c r="E87" i="1"/>
  <c r="K41" i="4"/>
  <c r="C81" i="1" s="1"/>
  <c r="B17" i="7" l="1"/>
  <c r="Q58" i="1"/>
  <c r="J58" i="1"/>
  <c r="H58" i="1"/>
  <c r="I58" i="1" s="1"/>
  <c r="K88" i="1"/>
  <c r="N88" i="1"/>
  <c r="B28" i="8"/>
  <c r="G28" i="8" s="1"/>
  <c r="D32" i="10"/>
  <c r="E32" i="10" s="1"/>
  <c r="E17" i="7"/>
  <c r="G58" i="1" s="1"/>
  <c r="D17" i="7"/>
  <c r="B56" i="10"/>
  <c r="A52" i="8"/>
  <c r="H52" i="8" s="1"/>
  <c r="E51" i="8"/>
  <c r="A46" i="7"/>
  <c r="C46" i="7" s="1"/>
  <c r="B89" i="1"/>
  <c r="D88" i="1"/>
  <c r="E88" i="1"/>
  <c r="K42" i="4"/>
  <c r="C82" i="1" s="1"/>
  <c r="O58" i="1" l="1"/>
  <c r="K89" i="1"/>
  <c r="N89" i="1"/>
  <c r="D28" i="8"/>
  <c r="C28" i="8" s="1"/>
  <c r="F28" i="8"/>
  <c r="I28" i="8" s="1"/>
  <c r="J28" i="8" s="1"/>
  <c r="C33" i="10"/>
  <c r="B57" i="10"/>
  <c r="A53" i="8"/>
  <c r="H53" i="8" s="1"/>
  <c r="E52" i="8"/>
  <c r="A47" i="7"/>
  <c r="C47" i="7" s="1"/>
  <c r="P58" i="1"/>
  <c r="F59" i="1" s="1"/>
  <c r="L59" i="1" s="1"/>
  <c r="B90" i="1"/>
  <c r="E89" i="1"/>
  <c r="D89" i="1"/>
  <c r="K43" i="4"/>
  <c r="C83" i="1" s="1"/>
  <c r="K90" i="1" l="1"/>
  <c r="N90" i="1"/>
  <c r="B29" i="8"/>
  <c r="G29" i="8" s="1"/>
  <c r="D33" i="10"/>
  <c r="E33" i="10" s="1"/>
  <c r="B58" i="10"/>
  <c r="A54" i="8"/>
  <c r="H54" i="8" s="1"/>
  <c r="E53" i="8"/>
  <c r="Q59" i="1"/>
  <c r="H59" i="1"/>
  <c r="I59" i="1" s="1"/>
  <c r="J59" i="1"/>
  <c r="B18" i="7"/>
  <c r="A48" i="7"/>
  <c r="C48" i="7" s="1"/>
  <c r="B91" i="1"/>
  <c r="D90" i="1"/>
  <c r="E90" i="1"/>
  <c r="K44" i="4"/>
  <c r="C84" i="1" s="1"/>
  <c r="K91" i="1" l="1"/>
  <c r="N91" i="1"/>
  <c r="D29" i="8"/>
  <c r="C29" i="8" s="1"/>
  <c r="F29" i="8"/>
  <c r="I29" i="8" s="1"/>
  <c r="J29" i="8" s="1"/>
  <c r="C34" i="10"/>
  <c r="E18" i="7"/>
  <c r="G59" i="1" s="1"/>
  <c r="O59" i="1" s="1"/>
  <c r="D18" i="7"/>
  <c r="B59" i="10"/>
  <c r="A55" i="8"/>
  <c r="H55" i="8" s="1"/>
  <c r="E54" i="8"/>
  <c r="A49" i="7"/>
  <c r="C49" i="7" s="1"/>
  <c r="D91" i="1"/>
  <c r="E91" i="1"/>
  <c r="B92" i="1"/>
  <c r="K45" i="4"/>
  <c r="C85" i="1" s="1"/>
  <c r="K92" i="1" l="1"/>
  <c r="N92" i="1"/>
  <c r="B30" i="8"/>
  <c r="G30" i="8" s="1"/>
  <c r="D34" i="10"/>
  <c r="E34" i="10" s="1"/>
  <c r="B60" i="10"/>
  <c r="A56" i="8"/>
  <c r="H56" i="8" s="1"/>
  <c r="E55" i="8"/>
  <c r="P59" i="1"/>
  <c r="F60" i="1" s="1"/>
  <c r="L60" i="1" s="1"/>
  <c r="A50" i="7"/>
  <c r="C50" i="7" s="1"/>
  <c r="B93" i="1"/>
  <c r="E92" i="1"/>
  <c r="D92" i="1"/>
  <c r="K46" i="4"/>
  <c r="C86" i="1" s="1"/>
  <c r="K93" i="1" l="1"/>
  <c r="N93" i="1"/>
  <c r="C35" i="10"/>
  <c r="F30" i="8"/>
  <c r="I30" i="8" s="1"/>
  <c r="J30" i="8" s="1"/>
  <c r="D30" i="8"/>
  <c r="C30" i="8" s="1"/>
  <c r="D35" i="10" s="1"/>
  <c r="B61" i="10"/>
  <c r="A57" i="8"/>
  <c r="H57" i="8" s="1"/>
  <c r="E56" i="8"/>
  <c r="A51" i="7"/>
  <c r="C51" i="7" s="1"/>
  <c r="B19" i="7"/>
  <c r="Q60" i="1"/>
  <c r="J60" i="1"/>
  <c r="H60" i="1"/>
  <c r="I60" i="1" s="1"/>
  <c r="B94" i="1"/>
  <c r="E93" i="1"/>
  <c r="D93" i="1"/>
  <c r="K47" i="4"/>
  <c r="C87" i="1" s="1"/>
  <c r="K94" i="1" l="1"/>
  <c r="N94" i="1"/>
  <c r="E35" i="10"/>
  <c r="B31" i="8"/>
  <c r="G31" i="8" s="1"/>
  <c r="D19" i="7"/>
  <c r="E19" i="7"/>
  <c r="G60" i="1" s="1"/>
  <c r="O60" i="1" s="1"/>
  <c r="B62" i="10"/>
  <c r="A58" i="8"/>
  <c r="H58" i="8" s="1"/>
  <c r="E57" i="8"/>
  <c r="A52" i="7"/>
  <c r="C52" i="7" s="1"/>
  <c r="B95" i="1"/>
  <c r="D94" i="1"/>
  <c r="E94" i="1"/>
  <c r="K48" i="4"/>
  <c r="C88" i="1" s="1"/>
  <c r="K95" i="1" l="1"/>
  <c r="N95" i="1"/>
  <c r="C36" i="10"/>
  <c r="D31" i="8"/>
  <c r="C31" i="8" s="1"/>
  <c r="F31" i="8"/>
  <c r="I31" i="8" s="1"/>
  <c r="J31" i="8" s="1"/>
  <c r="B63" i="10"/>
  <c r="A59" i="8"/>
  <c r="H59" i="8" s="1"/>
  <c r="E58" i="8"/>
  <c r="A53" i="7"/>
  <c r="C53" i="7" s="1"/>
  <c r="P60" i="1"/>
  <c r="F61" i="1" s="1"/>
  <c r="L61" i="1" s="1"/>
  <c r="B96" i="1"/>
  <c r="D95" i="1"/>
  <c r="E95" i="1"/>
  <c r="K49" i="4"/>
  <c r="C89" i="1" s="1"/>
  <c r="K96" i="1" l="1"/>
  <c r="N96" i="1"/>
  <c r="B32" i="8"/>
  <c r="G32" i="8" s="1"/>
  <c r="D36" i="10"/>
  <c r="E36" i="10" s="1"/>
  <c r="B64" i="10"/>
  <c r="A60" i="8"/>
  <c r="H60" i="8" s="1"/>
  <c r="E59" i="8"/>
  <c r="Q61" i="1"/>
  <c r="H61" i="1"/>
  <c r="I61" i="1" s="1"/>
  <c r="J61" i="1"/>
  <c r="B20" i="7"/>
  <c r="A54" i="7"/>
  <c r="C54" i="7" s="1"/>
  <c r="B97" i="1"/>
  <c r="D96" i="1"/>
  <c r="E96" i="1"/>
  <c r="K50" i="4"/>
  <c r="C90" i="1" s="1"/>
  <c r="K97" i="1" l="1"/>
  <c r="N97" i="1"/>
  <c r="D32" i="8"/>
  <c r="C32" i="8" s="1"/>
  <c r="F32" i="8"/>
  <c r="I32" i="8" s="1"/>
  <c r="J32" i="8" s="1"/>
  <c r="C37" i="10"/>
  <c r="E20" i="7"/>
  <c r="D20" i="7"/>
  <c r="B65" i="10"/>
  <c r="A61" i="8"/>
  <c r="H61" i="8" s="1"/>
  <c r="E60" i="8"/>
  <c r="A55" i="7"/>
  <c r="C55" i="7" s="1"/>
  <c r="B98" i="1"/>
  <c r="E97" i="1"/>
  <c r="D97" i="1"/>
  <c r="K51" i="4"/>
  <c r="C91" i="1" s="1"/>
  <c r="K98" i="1" l="1"/>
  <c r="N98" i="1"/>
  <c r="B33" i="8"/>
  <c r="G33" i="8" s="1"/>
  <c r="D37" i="10"/>
  <c r="E37" i="10" s="1"/>
  <c r="B66" i="10"/>
  <c r="A62" i="8"/>
  <c r="H62" i="8" s="1"/>
  <c r="E61" i="8"/>
  <c r="G61" i="1"/>
  <c r="O61" i="1" s="1"/>
  <c r="A56" i="7"/>
  <c r="C56" i="7" s="1"/>
  <c r="E98" i="1"/>
  <c r="B99" i="1"/>
  <c r="D98" i="1"/>
  <c r="K52" i="4"/>
  <c r="C92" i="1" s="1"/>
  <c r="K99" i="1" l="1"/>
  <c r="N99" i="1"/>
  <c r="F33" i="8"/>
  <c r="I33" i="8" s="1"/>
  <c r="J33" i="8" s="1"/>
  <c r="C38" i="10"/>
  <c r="D33" i="8"/>
  <c r="C33" i="8" s="1"/>
  <c r="B67" i="10"/>
  <c r="A63" i="8"/>
  <c r="H63" i="8" s="1"/>
  <c r="E62" i="8"/>
  <c r="P61" i="1"/>
  <c r="F62" i="1" s="1"/>
  <c r="A57" i="7"/>
  <c r="C57" i="7" s="1"/>
  <c r="B100" i="1"/>
  <c r="D99" i="1"/>
  <c r="E99" i="1"/>
  <c r="K53" i="4"/>
  <c r="C93" i="1" s="1"/>
  <c r="K100" i="1" l="1"/>
  <c r="H62" i="1"/>
  <c r="I62" i="1" s="1"/>
  <c r="L62" i="1"/>
  <c r="N100" i="1"/>
  <c r="B34" i="8"/>
  <c r="G34" i="8" s="1"/>
  <c r="D38" i="10"/>
  <c r="E38" i="10" s="1"/>
  <c r="Q62" i="1"/>
  <c r="J62" i="1"/>
  <c r="B21" i="7"/>
  <c r="B68" i="10"/>
  <c r="A64" i="8"/>
  <c r="H64" i="8" s="1"/>
  <c r="E63" i="8"/>
  <c r="A58" i="7"/>
  <c r="C58" i="7" s="1"/>
  <c r="B101" i="1"/>
  <c r="E100" i="1"/>
  <c r="D100" i="1"/>
  <c r="K54" i="4"/>
  <c r="C94" i="1" s="1"/>
  <c r="K101" i="1" l="1"/>
  <c r="N101" i="1"/>
  <c r="F34" i="8"/>
  <c r="I34" i="8" s="1"/>
  <c r="J34" i="8" s="1"/>
  <c r="D34" i="8"/>
  <c r="C34" i="8" s="1"/>
  <c r="C39" i="10"/>
  <c r="D21" i="7"/>
  <c r="E21" i="7"/>
  <c r="G62" i="1" s="1"/>
  <c r="O62" i="1" s="1"/>
  <c r="B69" i="10"/>
  <c r="A65" i="8"/>
  <c r="H65" i="8" s="1"/>
  <c r="E64" i="8"/>
  <c r="A59" i="7"/>
  <c r="C59" i="7" s="1"/>
  <c r="E101" i="1"/>
  <c r="B102" i="1"/>
  <c r="D101" i="1"/>
  <c r="K55" i="4"/>
  <c r="C95" i="1" s="1"/>
  <c r="K102" i="1" l="1"/>
  <c r="N102" i="1"/>
  <c r="B35" i="8"/>
  <c r="G35" i="8" s="1"/>
  <c r="D39" i="10"/>
  <c r="E39" i="10" s="1"/>
  <c r="B70" i="10"/>
  <c r="A66" i="8"/>
  <c r="H66" i="8" s="1"/>
  <c r="E65" i="8"/>
  <c r="P62" i="1"/>
  <c r="F63" i="1" s="1"/>
  <c r="A60" i="7"/>
  <c r="C60" i="7" s="1"/>
  <c r="B103" i="1"/>
  <c r="D102" i="1"/>
  <c r="E102" i="1"/>
  <c r="K56" i="4"/>
  <c r="C96" i="1" s="1"/>
  <c r="Q63" i="1" l="1"/>
  <c r="L63" i="1"/>
  <c r="K103" i="1"/>
  <c r="N103" i="1"/>
  <c r="D35" i="8"/>
  <c r="C35" i="8" s="1"/>
  <c r="C40" i="10"/>
  <c r="F35" i="8"/>
  <c r="I35" i="8" s="1"/>
  <c r="J35" i="8" s="1"/>
  <c r="B22" i="7"/>
  <c r="H63" i="1"/>
  <c r="I63" i="1" s="1"/>
  <c r="J63" i="1"/>
  <c r="B71" i="10"/>
  <c r="A67" i="8"/>
  <c r="H67" i="8" s="1"/>
  <c r="E66" i="8"/>
  <c r="A61" i="7"/>
  <c r="C61" i="7" s="1"/>
  <c r="B104" i="1"/>
  <c r="D103" i="1"/>
  <c r="E103" i="1"/>
  <c r="K57" i="4"/>
  <c r="C97" i="1" s="1"/>
  <c r="K104" i="1" l="1"/>
  <c r="N104" i="1"/>
  <c r="D40" i="10"/>
  <c r="E40" i="10" s="1"/>
  <c r="B36" i="8"/>
  <c r="G36" i="8" s="1"/>
  <c r="E22" i="7"/>
  <c r="G63" i="1" s="1"/>
  <c r="O63" i="1" s="1"/>
  <c r="D22" i="7"/>
  <c r="B72" i="10"/>
  <c r="A68" i="8"/>
  <c r="H68" i="8" s="1"/>
  <c r="E67" i="8"/>
  <c r="A62" i="7"/>
  <c r="C62" i="7" s="1"/>
  <c r="B105" i="1"/>
  <c r="D104" i="1"/>
  <c r="E104" i="1"/>
  <c r="K58" i="4"/>
  <c r="C98" i="1" s="1"/>
  <c r="K105" i="1" l="1"/>
  <c r="N105" i="1"/>
  <c r="F36" i="8"/>
  <c r="I36" i="8" s="1"/>
  <c r="J36" i="8" s="1"/>
  <c r="D36" i="8"/>
  <c r="C36" i="8" s="1"/>
  <c r="C41" i="10"/>
  <c r="P63" i="1"/>
  <c r="F64" i="1" s="1"/>
  <c r="B73" i="10"/>
  <c r="A69" i="8"/>
  <c r="H69" i="8" s="1"/>
  <c r="E68" i="8"/>
  <c r="A63" i="7"/>
  <c r="C63" i="7" s="1"/>
  <c r="B106" i="1"/>
  <c r="E105" i="1"/>
  <c r="D105" i="1"/>
  <c r="K59" i="4"/>
  <c r="C99" i="1" s="1"/>
  <c r="K106" i="1" l="1"/>
  <c r="B23" i="7"/>
  <c r="E23" i="7" s="1"/>
  <c r="L64" i="1"/>
  <c r="N106" i="1"/>
  <c r="B37" i="8"/>
  <c r="G37" i="8" s="1"/>
  <c r="D41" i="10"/>
  <c r="E41" i="10" s="1"/>
  <c r="Q64" i="1"/>
  <c r="J64" i="1"/>
  <c r="H64" i="1"/>
  <c r="I64" i="1" s="1"/>
  <c r="B74" i="10"/>
  <c r="A70" i="8"/>
  <c r="H70" i="8" s="1"/>
  <c r="E69" i="8"/>
  <c r="A64" i="7"/>
  <c r="C64" i="7" s="1"/>
  <c r="B107" i="1"/>
  <c r="D106" i="1"/>
  <c r="E106" i="1"/>
  <c r="K60" i="4"/>
  <c r="C100" i="1" s="1"/>
  <c r="D23" i="7" l="1"/>
  <c r="G64" i="1" s="1"/>
  <c r="O64" i="1" s="1"/>
  <c r="K107" i="1"/>
  <c r="N107" i="1"/>
  <c r="D37" i="8"/>
  <c r="C37" i="8" s="1"/>
  <c r="C42" i="10"/>
  <c r="F37" i="8"/>
  <c r="I37" i="8" s="1"/>
  <c r="J37" i="8" s="1"/>
  <c r="B75" i="10"/>
  <c r="A71" i="8"/>
  <c r="H71" i="8" s="1"/>
  <c r="E70" i="8"/>
  <c r="A65" i="7"/>
  <c r="C65" i="7" s="1"/>
  <c r="B108" i="1"/>
  <c r="D107" i="1"/>
  <c r="E107" i="1"/>
  <c r="K61" i="4"/>
  <c r="C101" i="1" s="1"/>
  <c r="K108" i="1" l="1"/>
  <c r="N108" i="1"/>
  <c r="B38" i="8"/>
  <c r="G38" i="8" s="1"/>
  <c r="D42" i="10"/>
  <c r="E42" i="10" s="1"/>
  <c r="B76" i="10"/>
  <c r="A72" i="8"/>
  <c r="H72" i="8" s="1"/>
  <c r="E71" i="8"/>
  <c r="P64" i="1"/>
  <c r="F65" i="1" s="1"/>
  <c r="A66" i="7"/>
  <c r="C66" i="7" s="1"/>
  <c r="E108" i="1"/>
  <c r="D108" i="1"/>
  <c r="B109" i="1"/>
  <c r="K62" i="4"/>
  <c r="C102" i="1" s="1"/>
  <c r="K109" i="1" l="1"/>
  <c r="B24" i="7"/>
  <c r="E24" i="7" s="1"/>
  <c r="L65" i="1"/>
  <c r="N109" i="1"/>
  <c r="D38" i="8"/>
  <c r="C38" i="8" s="1"/>
  <c r="C43" i="10"/>
  <c r="F38" i="8"/>
  <c r="I38" i="8" s="1"/>
  <c r="J38" i="8" s="1"/>
  <c r="J65" i="1"/>
  <c r="H65" i="1"/>
  <c r="I65" i="1" s="1"/>
  <c r="Q65" i="1"/>
  <c r="B77" i="10"/>
  <c r="A73" i="8"/>
  <c r="H73" i="8" s="1"/>
  <c r="E72" i="8"/>
  <c r="A67" i="7"/>
  <c r="C67" i="7" s="1"/>
  <c r="B110" i="1"/>
  <c r="E109" i="1"/>
  <c r="D109" i="1"/>
  <c r="K63" i="4"/>
  <c r="C103" i="1" s="1"/>
  <c r="D24" i="7" l="1"/>
  <c r="G65" i="1" s="1"/>
  <c r="O65" i="1" s="1"/>
  <c r="K110" i="1"/>
  <c r="N110" i="1"/>
  <c r="D43" i="10"/>
  <c r="E43" i="10" s="1"/>
  <c r="B39" i="8"/>
  <c r="G39" i="8" s="1"/>
  <c r="B78" i="10"/>
  <c r="A74" i="8"/>
  <c r="H74" i="8" s="1"/>
  <c r="E73" i="8"/>
  <c r="A68" i="7"/>
  <c r="C68" i="7" s="1"/>
  <c r="B111" i="1"/>
  <c r="E110" i="1"/>
  <c r="D110" i="1"/>
  <c r="K64" i="4"/>
  <c r="C104" i="1" s="1"/>
  <c r="K111" i="1" l="1"/>
  <c r="N111" i="1"/>
  <c r="C44" i="10"/>
  <c r="F39" i="8"/>
  <c r="I39" i="8" s="1"/>
  <c r="J39" i="8" s="1"/>
  <c r="D39" i="8"/>
  <c r="C39" i="8" s="1"/>
  <c r="B79" i="10"/>
  <c r="A75" i="8"/>
  <c r="H75" i="8" s="1"/>
  <c r="E74" i="8"/>
  <c r="P65" i="1"/>
  <c r="F66" i="1" s="1"/>
  <c r="A69" i="7"/>
  <c r="C69" i="7" s="1"/>
  <c r="B112" i="1"/>
  <c r="E111" i="1"/>
  <c r="D111" i="1"/>
  <c r="K65" i="4"/>
  <c r="C105" i="1" s="1"/>
  <c r="H66" i="1" l="1"/>
  <c r="I66" i="1" s="1"/>
  <c r="L66" i="1"/>
  <c r="K112" i="1"/>
  <c r="N112" i="1"/>
  <c r="B40" i="8"/>
  <c r="G40" i="8" s="1"/>
  <c r="D44" i="10"/>
  <c r="E44" i="10" s="1"/>
  <c r="Q66" i="1"/>
  <c r="B25" i="7"/>
  <c r="J66" i="1"/>
  <c r="B80" i="10"/>
  <c r="A76" i="8"/>
  <c r="H76" i="8" s="1"/>
  <c r="E75" i="8"/>
  <c r="A70" i="7"/>
  <c r="C70" i="7" s="1"/>
  <c r="B113" i="1"/>
  <c r="E112" i="1"/>
  <c r="D112" i="1"/>
  <c r="K66" i="4"/>
  <c r="C106" i="1" s="1"/>
  <c r="K113" i="1" l="1"/>
  <c r="N113" i="1"/>
  <c r="D40" i="8"/>
  <c r="C40" i="8" s="1"/>
  <c r="C45" i="10"/>
  <c r="F40" i="8"/>
  <c r="I40" i="8" s="1"/>
  <c r="J40" i="8" s="1"/>
  <c r="E25" i="7"/>
  <c r="D25" i="7"/>
  <c r="B81" i="10"/>
  <c r="A77" i="8"/>
  <c r="H77" i="8" s="1"/>
  <c r="E76" i="8"/>
  <c r="A71" i="7"/>
  <c r="C71" i="7" s="1"/>
  <c r="B114" i="1"/>
  <c r="E113" i="1"/>
  <c r="D113" i="1"/>
  <c r="K67" i="4"/>
  <c r="C107" i="1" s="1"/>
  <c r="G66" i="1" l="1"/>
  <c r="O66" i="1" s="1"/>
  <c r="K114" i="1"/>
  <c r="N114" i="1"/>
  <c r="D45" i="10"/>
  <c r="E45" i="10" s="1"/>
  <c r="B41" i="8"/>
  <c r="G41" i="8" s="1"/>
  <c r="B82" i="10"/>
  <c r="A78" i="8"/>
  <c r="H78" i="8" s="1"/>
  <c r="E77" i="8"/>
  <c r="A72" i="7"/>
  <c r="C72" i="7" s="1"/>
  <c r="B115" i="1"/>
  <c r="D114" i="1"/>
  <c r="E114" i="1"/>
  <c r="K68" i="4"/>
  <c r="C108" i="1" s="1"/>
  <c r="P66" i="1" l="1"/>
  <c r="F67" i="1" s="1"/>
  <c r="Q67" i="1" s="1"/>
  <c r="L67" i="1"/>
  <c r="K115" i="1"/>
  <c r="N115" i="1"/>
  <c r="J67" i="1"/>
  <c r="C46" i="10"/>
  <c r="F41" i="8"/>
  <c r="I41" i="8" s="1"/>
  <c r="J41" i="8" s="1"/>
  <c r="D41" i="8"/>
  <c r="C41" i="8" s="1"/>
  <c r="B26" i="7"/>
  <c r="D26" i="7" s="1"/>
  <c r="H67" i="1"/>
  <c r="I67" i="1" s="1"/>
  <c r="B83" i="10"/>
  <c r="A79" i="8"/>
  <c r="H79" i="8" s="1"/>
  <c r="E78" i="8"/>
  <c r="A73" i="7"/>
  <c r="C73" i="7" s="1"/>
  <c r="D115" i="1"/>
  <c r="E115" i="1"/>
  <c r="B116" i="1"/>
  <c r="K69" i="4"/>
  <c r="C109" i="1" s="1"/>
  <c r="K116" i="1" l="1"/>
  <c r="N116" i="1"/>
  <c r="E26" i="7"/>
  <c r="G67" i="1" s="1"/>
  <c r="D46" i="10"/>
  <c r="E46" i="10" s="1"/>
  <c r="B42" i="8"/>
  <c r="G42" i="8" s="1"/>
  <c r="B84" i="10"/>
  <c r="A80" i="8"/>
  <c r="H80" i="8" s="1"/>
  <c r="E79" i="8"/>
  <c r="A74" i="7"/>
  <c r="C74" i="7" s="1"/>
  <c r="E116" i="1"/>
  <c r="B117" i="1"/>
  <c r="D116" i="1"/>
  <c r="K70" i="4"/>
  <c r="C110" i="1" s="1"/>
  <c r="P67" i="1" l="1"/>
  <c r="F68" i="1" s="1"/>
  <c r="L68" i="1" s="1"/>
  <c r="O67" i="1"/>
  <c r="K117" i="1"/>
  <c r="N117" i="1"/>
  <c r="D42" i="8"/>
  <c r="C42" i="8" s="1"/>
  <c r="F42" i="8"/>
  <c r="I42" i="8" s="1"/>
  <c r="J42" i="8" s="1"/>
  <c r="C47" i="10"/>
  <c r="B85" i="10"/>
  <c r="A81" i="8"/>
  <c r="H81" i="8" s="1"/>
  <c r="E80" i="8"/>
  <c r="J68" i="1"/>
  <c r="A75" i="7"/>
  <c r="C75" i="7" s="1"/>
  <c r="B118" i="1"/>
  <c r="E117" i="1"/>
  <c r="D117" i="1"/>
  <c r="K71" i="4"/>
  <c r="C111" i="1" s="1"/>
  <c r="H68" i="1" l="1"/>
  <c r="I68" i="1" s="1"/>
  <c r="Q68" i="1"/>
  <c r="B27" i="7"/>
  <c r="E27" i="7" s="1"/>
  <c r="K118" i="1"/>
  <c r="N118" i="1"/>
  <c r="D47" i="10"/>
  <c r="E47" i="10" s="1"/>
  <c r="B43" i="8"/>
  <c r="G43" i="8" s="1"/>
  <c r="D27" i="7"/>
  <c r="B86" i="10"/>
  <c r="A82" i="8"/>
  <c r="H82" i="8" s="1"/>
  <c r="E81" i="8"/>
  <c r="A76" i="7"/>
  <c r="C76" i="7" s="1"/>
  <c r="B119" i="1"/>
  <c r="D118" i="1"/>
  <c r="E118" i="1"/>
  <c r="K72" i="4"/>
  <c r="C112" i="1" s="1"/>
  <c r="K119" i="1" l="1"/>
  <c r="N119" i="1"/>
  <c r="C48" i="10"/>
  <c r="F43" i="8"/>
  <c r="I43" i="8" s="1"/>
  <c r="J43" i="8" s="1"/>
  <c r="D43" i="8"/>
  <c r="C43" i="8" s="1"/>
  <c r="D48" i="10" s="1"/>
  <c r="B87" i="10"/>
  <c r="A83" i="8"/>
  <c r="H83" i="8" s="1"/>
  <c r="E82" i="8"/>
  <c r="G68" i="1"/>
  <c r="O68" i="1" s="1"/>
  <c r="A77" i="7"/>
  <c r="C77" i="7" s="1"/>
  <c r="D119" i="1"/>
  <c r="E119" i="1"/>
  <c r="B120" i="1"/>
  <c r="K73" i="4"/>
  <c r="C113" i="1" s="1"/>
  <c r="K120" i="1" l="1"/>
  <c r="N120" i="1"/>
  <c r="E48" i="10"/>
  <c r="B44" i="8"/>
  <c r="B88" i="10"/>
  <c r="A84" i="8"/>
  <c r="H84" i="8" s="1"/>
  <c r="E83" i="8"/>
  <c r="P68" i="1"/>
  <c r="F69" i="1" s="1"/>
  <c r="A78" i="7"/>
  <c r="C78" i="7" s="1"/>
  <c r="B121" i="1"/>
  <c r="D120" i="1"/>
  <c r="E120" i="1"/>
  <c r="K74" i="4"/>
  <c r="C114" i="1" s="1"/>
  <c r="B28" i="7" l="1"/>
  <c r="L69" i="1"/>
  <c r="K121" i="1"/>
  <c r="N121" i="1"/>
  <c r="F44" i="8"/>
  <c r="G44" i="8"/>
  <c r="C49" i="10"/>
  <c r="D44" i="8"/>
  <c r="C44" i="8" s="1"/>
  <c r="E28" i="7"/>
  <c r="D28" i="7"/>
  <c r="J69" i="1"/>
  <c r="Q69" i="1"/>
  <c r="H69" i="1"/>
  <c r="I69" i="1" s="1"/>
  <c r="B89" i="10"/>
  <c r="A85" i="8"/>
  <c r="H85" i="8" s="1"/>
  <c r="E84" i="8"/>
  <c r="A79" i="7"/>
  <c r="C79" i="7" s="1"/>
  <c r="E121" i="1"/>
  <c r="B122" i="1"/>
  <c r="D121" i="1"/>
  <c r="K75" i="4"/>
  <c r="C115" i="1" s="1"/>
  <c r="K122" i="1" l="1"/>
  <c r="I44" i="8"/>
  <c r="J44" i="8" s="1"/>
  <c r="N122" i="1"/>
  <c r="D49" i="10"/>
  <c r="E49" i="10" s="1"/>
  <c r="B45" i="8"/>
  <c r="G45" i="8" s="1"/>
  <c r="B90" i="10"/>
  <c r="A86" i="8"/>
  <c r="H86" i="8" s="1"/>
  <c r="E85" i="8"/>
  <c r="G69" i="1"/>
  <c r="A80" i="7"/>
  <c r="C80" i="7" s="1"/>
  <c r="B123" i="1"/>
  <c r="D122" i="1"/>
  <c r="E122" i="1"/>
  <c r="K76" i="4"/>
  <c r="C116" i="1" s="1"/>
  <c r="K123" i="1" l="1"/>
  <c r="P69" i="1"/>
  <c r="F70" i="1" s="1"/>
  <c r="L70" i="1" s="1"/>
  <c r="O69" i="1"/>
  <c r="N123" i="1"/>
  <c r="C50" i="10"/>
  <c r="D45" i="8"/>
  <c r="C45" i="8" s="1"/>
  <c r="D50" i="10" s="1"/>
  <c r="F45" i="8"/>
  <c r="I45" i="8" s="1"/>
  <c r="J45" i="8" s="1"/>
  <c r="B91" i="10"/>
  <c r="A87" i="8"/>
  <c r="H87" i="8" s="1"/>
  <c r="E86" i="8"/>
  <c r="A81" i="7"/>
  <c r="C81" i="7" s="1"/>
  <c r="B124" i="1"/>
  <c r="E123" i="1"/>
  <c r="D123" i="1"/>
  <c r="K77" i="4"/>
  <c r="C117" i="1" s="1"/>
  <c r="B29" i="7" l="1"/>
  <c r="E29" i="7" s="1"/>
  <c r="J70" i="1"/>
  <c r="Q70" i="1"/>
  <c r="H70" i="1"/>
  <c r="I70" i="1" s="1"/>
  <c r="K124" i="1"/>
  <c r="E50" i="10"/>
  <c r="N124" i="1"/>
  <c r="B46" i="8"/>
  <c r="G46" i="8" s="1"/>
  <c r="B92" i="10"/>
  <c r="A88" i="8"/>
  <c r="H88" i="8" s="1"/>
  <c r="E87" i="8"/>
  <c r="A82" i="7"/>
  <c r="C82" i="7" s="1"/>
  <c r="E124" i="1"/>
  <c r="D124" i="1"/>
  <c r="B125" i="1"/>
  <c r="K78" i="4"/>
  <c r="C118" i="1" s="1"/>
  <c r="D29" i="7" l="1"/>
  <c r="G70" i="1" s="1"/>
  <c r="K125" i="1"/>
  <c r="N125" i="1"/>
  <c r="C51" i="10"/>
  <c r="F46" i="8"/>
  <c r="I46" i="8" s="1"/>
  <c r="J46" i="8" s="1"/>
  <c r="D46" i="8"/>
  <c r="C46" i="8" s="1"/>
  <c r="B93" i="10"/>
  <c r="A89" i="8"/>
  <c r="H89" i="8" s="1"/>
  <c r="E88" i="8"/>
  <c r="A83" i="7"/>
  <c r="C83" i="7" s="1"/>
  <c r="B126" i="1"/>
  <c r="D125" i="1"/>
  <c r="E125" i="1"/>
  <c r="K79" i="4"/>
  <c r="C119" i="1" s="1"/>
  <c r="K126" i="1" l="1"/>
  <c r="P70" i="1"/>
  <c r="F71" i="1" s="1"/>
  <c r="L71" i="1" s="1"/>
  <c r="O70" i="1"/>
  <c r="N126" i="1"/>
  <c r="D51" i="10"/>
  <c r="E51" i="10" s="1"/>
  <c r="B47" i="8"/>
  <c r="G47" i="8" s="1"/>
  <c r="B94" i="10"/>
  <c r="A90" i="8"/>
  <c r="H90" i="8" s="1"/>
  <c r="E89" i="8"/>
  <c r="A84" i="7"/>
  <c r="C84" i="7" s="1"/>
  <c r="B127" i="1"/>
  <c r="D126" i="1"/>
  <c r="E126" i="1"/>
  <c r="K80" i="4"/>
  <c r="C120" i="1" s="1"/>
  <c r="B30" i="7" l="1"/>
  <c r="E30" i="7" s="1"/>
  <c r="J71" i="1"/>
  <c r="H71" i="1"/>
  <c r="I71" i="1" s="1"/>
  <c r="Q71" i="1"/>
  <c r="K127" i="1"/>
  <c r="N127" i="1"/>
  <c r="F47" i="8"/>
  <c r="I47" i="8" s="1"/>
  <c r="J47" i="8" s="1"/>
  <c r="D47" i="8"/>
  <c r="C47" i="8" s="1"/>
  <c r="C52" i="10"/>
  <c r="D30" i="7"/>
  <c r="B95" i="10"/>
  <c r="A91" i="8"/>
  <c r="H91" i="8" s="1"/>
  <c r="E90" i="8"/>
  <c r="A85" i="7"/>
  <c r="C85" i="7" s="1"/>
  <c r="B128" i="1"/>
  <c r="E127" i="1"/>
  <c r="D127" i="1"/>
  <c r="K81" i="4"/>
  <c r="C121" i="1" s="1"/>
  <c r="G71" i="1" l="1"/>
  <c r="O71" i="1" s="1"/>
  <c r="K128" i="1"/>
  <c r="N128" i="1"/>
  <c r="B48" i="8"/>
  <c r="G48" i="8" s="1"/>
  <c r="D52" i="10"/>
  <c r="E52" i="10" s="1"/>
  <c r="B96" i="10"/>
  <c r="A92" i="8"/>
  <c r="H92" i="8" s="1"/>
  <c r="E91" i="8"/>
  <c r="A86" i="7"/>
  <c r="C86" i="7" s="1"/>
  <c r="B129" i="1"/>
  <c r="D128" i="1"/>
  <c r="E128" i="1"/>
  <c r="K82" i="4"/>
  <c r="C122" i="1" s="1"/>
  <c r="P71" i="1" l="1"/>
  <c r="F72" i="1" s="1"/>
  <c r="L72" i="1" s="1"/>
  <c r="K129" i="1"/>
  <c r="N129" i="1"/>
  <c r="C53" i="10"/>
  <c r="F48" i="8"/>
  <c r="I48" i="8" s="1"/>
  <c r="J48" i="8" s="1"/>
  <c r="D48" i="8"/>
  <c r="C48" i="8" s="1"/>
  <c r="B97" i="10"/>
  <c r="A93" i="8"/>
  <c r="H93" i="8" s="1"/>
  <c r="E92" i="8"/>
  <c r="A87" i="7"/>
  <c r="C87" i="7" s="1"/>
  <c r="Q72" i="1"/>
  <c r="B31" i="7"/>
  <c r="E129" i="1"/>
  <c r="B130" i="1"/>
  <c r="D129" i="1"/>
  <c r="K83" i="4"/>
  <c r="C123" i="1" s="1"/>
  <c r="J72" i="1" l="1"/>
  <c r="H72" i="1"/>
  <c r="I72" i="1" s="1"/>
  <c r="K130" i="1"/>
  <c r="N130" i="1"/>
  <c r="B49" i="8"/>
  <c r="G49" i="8" s="1"/>
  <c r="D53" i="10"/>
  <c r="E53" i="10" s="1"/>
  <c r="E31" i="7"/>
  <c r="D31" i="7"/>
  <c r="B98" i="10"/>
  <c r="A94" i="8"/>
  <c r="H94" i="8" s="1"/>
  <c r="E93" i="8"/>
  <c r="A88" i="7"/>
  <c r="C88" i="7" s="1"/>
  <c r="D130" i="1"/>
  <c r="B131" i="1"/>
  <c r="E130" i="1"/>
  <c r="K84" i="4"/>
  <c r="C124" i="1" s="1"/>
  <c r="K131" i="1" l="1"/>
  <c r="N131" i="1"/>
  <c r="F49" i="8"/>
  <c r="I49" i="8" s="1"/>
  <c r="J49" i="8" s="1"/>
  <c r="D49" i="8"/>
  <c r="C49" i="8" s="1"/>
  <c r="C54" i="10"/>
  <c r="B99" i="10"/>
  <c r="A95" i="8"/>
  <c r="H95" i="8" s="1"/>
  <c r="E94" i="8"/>
  <c r="A89" i="7"/>
  <c r="C89" i="7" s="1"/>
  <c r="G72" i="1"/>
  <c r="O72" i="1" s="1"/>
  <c r="B132" i="1"/>
  <c r="D131" i="1"/>
  <c r="E131" i="1"/>
  <c r="K85" i="4"/>
  <c r="C125" i="1" s="1"/>
  <c r="K132" i="1" l="1"/>
  <c r="N132" i="1"/>
  <c r="B50" i="8"/>
  <c r="G50" i="8" s="1"/>
  <c r="D54" i="10"/>
  <c r="E54" i="10" s="1"/>
  <c r="B100" i="10"/>
  <c r="A96" i="8"/>
  <c r="H96" i="8" s="1"/>
  <c r="E95" i="8"/>
  <c r="P72" i="1"/>
  <c r="F73" i="1" s="1"/>
  <c r="L73" i="1" s="1"/>
  <c r="A90" i="7"/>
  <c r="C90" i="7" s="1"/>
  <c r="B133" i="1"/>
  <c r="D132" i="1"/>
  <c r="E132" i="1"/>
  <c r="K86" i="4"/>
  <c r="C126" i="1" s="1"/>
  <c r="K133" i="1" l="1"/>
  <c r="N133" i="1"/>
  <c r="D50" i="8"/>
  <c r="C50" i="8" s="1"/>
  <c r="F50" i="8"/>
  <c r="I50" i="8" s="1"/>
  <c r="J50" i="8" s="1"/>
  <c r="C55" i="10"/>
  <c r="B101" i="10"/>
  <c r="A97" i="8"/>
  <c r="H97" i="8" s="1"/>
  <c r="E96" i="8"/>
  <c r="H73" i="1"/>
  <c r="I73" i="1" s="1"/>
  <c r="Q73" i="1"/>
  <c r="J73" i="1"/>
  <c r="B32" i="7"/>
  <c r="A91" i="7"/>
  <c r="C91" i="7" s="1"/>
  <c r="E133" i="1"/>
  <c r="D133" i="1"/>
  <c r="B134" i="1"/>
  <c r="K87" i="4"/>
  <c r="C127" i="1" s="1"/>
  <c r="K134" i="1" l="1"/>
  <c r="N134" i="1"/>
  <c r="B51" i="8"/>
  <c r="G51" i="8" s="1"/>
  <c r="D55" i="10"/>
  <c r="E55" i="10" s="1"/>
  <c r="E32" i="7"/>
  <c r="D32" i="7"/>
  <c r="B102" i="10"/>
  <c r="A98" i="8"/>
  <c r="H98" i="8" s="1"/>
  <c r="E97" i="8"/>
  <c r="A92" i="7"/>
  <c r="C92" i="7" s="1"/>
  <c r="B135" i="1"/>
  <c r="D134" i="1"/>
  <c r="E134" i="1"/>
  <c r="K88" i="4"/>
  <c r="C128" i="1" s="1"/>
  <c r="G73" i="1" l="1"/>
  <c r="O73" i="1" s="1"/>
  <c r="K135" i="1"/>
  <c r="N135" i="1"/>
  <c r="F51" i="8"/>
  <c r="I51" i="8" s="1"/>
  <c r="J51" i="8" s="1"/>
  <c r="D51" i="8"/>
  <c r="C51" i="8" s="1"/>
  <c r="C56" i="10"/>
  <c r="B103" i="10"/>
  <c r="A99" i="8"/>
  <c r="H99" i="8" s="1"/>
  <c r="E98" i="8"/>
  <c r="A93" i="7"/>
  <c r="C93" i="7" s="1"/>
  <c r="B136" i="1"/>
  <c r="D135" i="1"/>
  <c r="E135" i="1"/>
  <c r="K89" i="4"/>
  <c r="C129" i="1" s="1"/>
  <c r="P73" i="1" l="1"/>
  <c r="F74" i="1" s="1"/>
  <c r="L74" i="1" s="1"/>
  <c r="K136" i="1"/>
  <c r="N136" i="1"/>
  <c r="D56" i="10"/>
  <c r="E56" i="10" s="1"/>
  <c r="B52" i="8"/>
  <c r="G52" i="8" s="1"/>
  <c r="B104" i="10"/>
  <c r="A100" i="8"/>
  <c r="H100" i="8" s="1"/>
  <c r="E99" i="8"/>
  <c r="A94" i="7"/>
  <c r="C94" i="7" s="1"/>
  <c r="D136" i="1"/>
  <c r="B137" i="1"/>
  <c r="E136" i="1"/>
  <c r="K90" i="4"/>
  <c r="C130" i="1" s="1"/>
  <c r="H74" i="1" l="1"/>
  <c r="I74" i="1" s="1"/>
  <c r="J74" i="1"/>
  <c r="B33" i="7"/>
  <c r="E33" i="7" s="1"/>
  <c r="Q74" i="1"/>
  <c r="K137" i="1"/>
  <c r="N137" i="1"/>
  <c r="D52" i="8"/>
  <c r="C52" i="8" s="1"/>
  <c r="D57" i="10" s="1"/>
  <c r="F52" i="8"/>
  <c r="I52" i="8" s="1"/>
  <c r="J52" i="8" s="1"/>
  <c r="C57" i="10"/>
  <c r="B105" i="10"/>
  <c r="A101" i="8"/>
  <c r="H101" i="8" s="1"/>
  <c r="E100" i="8"/>
  <c r="A95" i="7"/>
  <c r="C95" i="7" s="1"/>
  <c r="B138" i="1"/>
  <c r="E137" i="1"/>
  <c r="D137" i="1"/>
  <c r="K91" i="4"/>
  <c r="C131" i="1" s="1"/>
  <c r="D33" i="7" l="1"/>
  <c r="K138" i="1"/>
  <c r="N138" i="1"/>
  <c r="E57" i="10"/>
  <c r="B53" i="8"/>
  <c r="G53" i="8" s="1"/>
  <c r="G74" i="1"/>
  <c r="B106" i="10"/>
  <c r="A102" i="8"/>
  <c r="H102" i="8" s="1"/>
  <c r="E101" i="8"/>
  <c r="A96" i="7"/>
  <c r="C96" i="7" s="1"/>
  <c r="B139" i="1"/>
  <c r="D138" i="1"/>
  <c r="E138" i="1"/>
  <c r="K92" i="4"/>
  <c r="C132" i="1" s="1"/>
  <c r="P74" i="1" l="1"/>
  <c r="F75" i="1" s="1"/>
  <c r="L75" i="1" s="1"/>
  <c r="O74" i="1"/>
  <c r="K139" i="1"/>
  <c r="N139" i="1"/>
  <c r="C58" i="10"/>
  <c r="D53" i="8"/>
  <c r="C53" i="8" s="1"/>
  <c r="F53" i="8"/>
  <c r="I53" i="8" s="1"/>
  <c r="J53" i="8" s="1"/>
  <c r="B107" i="10"/>
  <c r="A103" i="8"/>
  <c r="H103" i="8" s="1"/>
  <c r="E102" i="8"/>
  <c r="A97" i="7"/>
  <c r="C97" i="7" s="1"/>
  <c r="D139" i="1"/>
  <c r="E139" i="1"/>
  <c r="B140" i="1"/>
  <c r="K93" i="4"/>
  <c r="C133" i="1" s="1"/>
  <c r="J75" i="1" l="1"/>
  <c r="B34" i="7"/>
  <c r="E34" i="7" s="1"/>
  <c r="Q75" i="1"/>
  <c r="H75" i="1"/>
  <c r="I75" i="1" s="1"/>
  <c r="K140" i="1"/>
  <c r="N140" i="1"/>
  <c r="B54" i="8"/>
  <c r="G54" i="8" s="1"/>
  <c r="D58" i="10"/>
  <c r="E58" i="10" s="1"/>
  <c r="D34" i="7"/>
  <c r="B108" i="10"/>
  <c r="A104" i="8"/>
  <c r="H104" i="8" s="1"/>
  <c r="E103" i="8"/>
  <c r="A98" i="7"/>
  <c r="C98" i="7" s="1"/>
  <c r="B141" i="1"/>
  <c r="E140" i="1"/>
  <c r="D140" i="1"/>
  <c r="K94" i="4"/>
  <c r="C134" i="1" s="1"/>
  <c r="K141" i="1" l="1"/>
  <c r="N141" i="1"/>
  <c r="G75" i="1"/>
  <c r="O75" i="1" s="1"/>
  <c r="C59" i="10"/>
  <c r="D54" i="8"/>
  <c r="C54" i="8" s="1"/>
  <c r="F54" i="8"/>
  <c r="I54" i="8" s="1"/>
  <c r="J54" i="8" s="1"/>
  <c r="B109" i="10"/>
  <c r="A105" i="8"/>
  <c r="H105" i="8" s="1"/>
  <c r="E104" i="8"/>
  <c r="A99" i="7"/>
  <c r="C99" i="7" s="1"/>
  <c r="B142" i="1"/>
  <c r="D141" i="1"/>
  <c r="E141" i="1"/>
  <c r="K95" i="4"/>
  <c r="C135" i="1" s="1"/>
  <c r="K142" i="1" l="1"/>
  <c r="P75" i="1"/>
  <c r="F76" i="1" s="1"/>
  <c r="N142" i="1"/>
  <c r="B55" i="8"/>
  <c r="G55" i="8" s="1"/>
  <c r="D59" i="10"/>
  <c r="E59" i="10" s="1"/>
  <c r="B110" i="10"/>
  <c r="A106" i="8"/>
  <c r="H106" i="8" s="1"/>
  <c r="E105" i="8"/>
  <c r="A100" i="7"/>
  <c r="C100" i="7" s="1"/>
  <c r="B143" i="1"/>
  <c r="D142" i="1"/>
  <c r="E142" i="1"/>
  <c r="K96" i="4"/>
  <c r="C136" i="1" s="1"/>
  <c r="B35" i="7" l="1"/>
  <c r="E35" i="7" s="1"/>
  <c r="L76" i="1"/>
  <c r="K143" i="1"/>
  <c r="J76" i="1"/>
  <c r="Q76" i="1"/>
  <c r="H76" i="1"/>
  <c r="I76" i="1" s="1"/>
  <c r="N143" i="1"/>
  <c r="F55" i="8"/>
  <c r="I55" i="8" s="1"/>
  <c r="J55" i="8" s="1"/>
  <c r="C60" i="10"/>
  <c r="D55" i="8"/>
  <c r="C55" i="8" s="1"/>
  <c r="D35" i="7"/>
  <c r="B111" i="10"/>
  <c r="A107" i="8"/>
  <c r="H107" i="8" s="1"/>
  <c r="E106" i="8"/>
  <c r="A101" i="7"/>
  <c r="C101" i="7" s="1"/>
  <c r="B144" i="1"/>
  <c r="D143" i="1"/>
  <c r="E143" i="1"/>
  <c r="K97" i="4"/>
  <c r="C137" i="1" s="1"/>
  <c r="K144" i="1" l="1"/>
  <c r="N144" i="1"/>
  <c r="D60" i="10"/>
  <c r="E60" i="10" s="1"/>
  <c r="B56" i="8"/>
  <c r="G56" i="8" s="1"/>
  <c r="G76" i="1"/>
  <c r="B112" i="10"/>
  <c r="A108" i="8"/>
  <c r="H108" i="8" s="1"/>
  <c r="E107" i="8"/>
  <c r="A102" i="7"/>
  <c r="C102" i="7" s="1"/>
  <c r="E144" i="1"/>
  <c r="B145" i="1"/>
  <c r="D144" i="1"/>
  <c r="K98" i="4"/>
  <c r="C138" i="1" s="1"/>
  <c r="P76" i="1" l="1"/>
  <c r="F77" i="1" s="1"/>
  <c r="L77" i="1" s="1"/>
  <c r="O76" i="1"/>
  <c r="K145" i="1"/>
  <c r="N145" i="1"/>
  <c r="C61" i="10"/>
  <c r="F56" i="8"/>
  <c r="I56" i="8" s="1"/>
  <c r="J56" i="8" s="1"/>
  <c r="D56" i="8"/>
  <c r="C56" i="8" s="1"/>
  <c r="B113" i="10"/>
  <c r="A109" i="8"/>
  <c r="H109" i="8" s="1"/>
  <c r="E108" i="8"/>
  <c r="A103" i="7"/>
  <c r="C103" i="7" s="1"/>
  <c r="E145" i="1"/>
  <c r="B146" i="1"/>
  <c r="D145" i="1"/>
  <c r="K99" i="4"/>
  <c r="C139" i="1" s="1"/>
  <c r="B36" i="7" l="1"/>
  <c r="J77" i="1"/>
  <c r="H77" i="1"/>
  <c r="I77" i="1" s="1"/>
  <c r="Q77" i="1"/>
  <c r="K146" i="1"/>
  <c r="N146" i="1"/>
  <c r="D61" i="10"/>
  <c r="E61" i="10" s="1"/>
  <c r="B57" i="8"/>
  <c r="G57" i="8" s="1"/>
  <c r="E36" i="7"/>
  <c r="D36" i="7"/>
  <c r="B114" i="10"/>
  <c r="A110" i="8"/>
  <c r="H110" i="8" s="1"/>
  <c r="E109" i="8"/>
  <c r="A104" i="7"/>
  <c r="C104" i="7" s="1"/>
  <c r="D146" i="1"/>
  <c r="B147" i="1"/>
  <c r="E146" i="1"/>
  <c r="K100" i="4"/>
  <c r="C140" i="1" s="1"/>
  <c r="G77" i="1" l="1"/>
  <c r="O77" i="1" s="1"/>
  <c r="K147" i="1"/>
  <c r="N147" i="1"/>
  <c r="C62" i="10"/>
  <c r="F57" i="8"/>
  <c r="I57" i="8" s="1"/>
  <c r="J57" i="8" s="1"/>
  <c r="D57" i="8"/>
  <c r="C57" i="8" s="1"/>
  <c r="B115" i="10"/>
  <c r="A111" i="8"/>
  <c r="H111" i="8" s="1"/>
  <c r="E110" i="8"/>
  <c r="A105" i="7"/>
  <c r="C105" i="7" s="1"/>
  <c r="B148" i="1"/>
  <c r="D147" i="1"/>
  <c r="E147" i="1"/>
  <c r="K101" i="4"/>
  <c r="C141" i="1" s="1"/>
  <c r="P77" i="1" l="1"/>
  <c r="F78" i="1" s="1"/>
  <c r="L78" i="1" s="1"/>
  <c r="K148" i="1"/>
  <c r="N148" i="1"/>
  <c r="B58" i="8"/>
  <c r="G58" i="8" s="1"/>
  <c r="D62" i="10"/>
  <c r="E62" i="10" s="1"/>
  <c r="B116" i="10"/>
  <c r="A112" i="8"/>
  <c r="H112" i="8" s="1"/>
  <c r="E111" i="8"/>
  <c r="A106" i="7"/>
  <c r="C106" i="7" s="1"/>
  <c r="E148" i="1"/>
  <c r="B149" i="1"/>
  <c r="D148" i="1"/>
  <c r="K102" i="4"/>
  <c r="C142" i="1" s="1"/>
  <c r="H78" i="1" l="1"/>
  <c r="I78" i="1" s="1"/>
  <c r="J78" i="1"/>
  <c r="Q78" i="1"/>
  <c r="B37" i="7"/>
  <c r="D37" i="7" s="1"/>
  <c r="K149" i="1"/>
  <c r="N149" i="1"/>
  <c r="C63" i="10"/>
  <c r="F58" i="8"/>
  <c r="I58" i="8" s="1"/>
  <c r="J58" i="8" s="1"/>
  <c r="D58" i="8"/>
  <c r="C58" i="8" s="1"/>
  <c r="B117" i="10"/>
  <c r="A113" i="8"/>
  <c r="H113" i="8" s="1"/>
  <c r="E112" i="8"/>
  <c r="A107" i="7"/>
  <c r="C107" i="7" s="1"/>
  <c r="E149" i="1"/>
  <c r="B150" i="1"/>
  <c r="D149" i="1"/>
  <c r="K103" i="4"/>
  <c r="C143" i="1" s="1"/>
  <c r="E37" i="7" l="1"/>
  <c r="G78" i="1" s="1"/>
  <c r="O78" i="1" s="1"/>
  <c r="K150" i="1"/>
  <c r="N150" i="1"/>
  <c r="D63" i="10"/>
  <c r="E63" i="10" s="1"/>
  <c r="B59" i="8"/>
  <c r="G59" i="8" s="1"/>
  <c r="B118" i="10"/>
  <c r="A114" i="8"/>
  <c r="H114" i="8" s="1"/>
  <c r="E113" i="8"/>
  <c r="A108" i="7"/>
  <c r="C108" i="7" s="1"/>
  <c r="D150" i="1"/>
  <c r="B151" i="1"/>
  <c r="E150" i="1"/>
  <c r="K104" i="4"/>
  <c r="C144" i="1" s="1"/>
  <c r="P78" i="1" l="1"/>
  <c r="F79" i="1" s="1"/>
  <c r="L79" i="1" s="1"/>
  <c r="K151" i="1"/>
  <c r="N151" i="1"/>
  <c r="D59" i="8"/>
  <c r="C59" i="8" s="1"/>
  <c r="F59" i="8"/>
  <c r="I59" i="8" s="1"/>
  <c r="J59" i="8" s="1"/>
  <c r="C64" i="10"/>
  <c r="B119" i="10"/>
  <c r="A115" i="8"/>
  <c r="H115" i="8" s="1"/>
  <c r="E114" i="8"/>
  <c r="A109" i="7"/>
  <c r="C109" i="7" s="1"/>
  <c r="B152" i="1"/>
  <c r="D151" i="1"/>
  <c r="E151" i="1"/>
  <c r="K105" i="4"/>
  <c r="C145" i="1" s="1"/>
  <c r="B38" i="7" l="1"/>
  <c r="H79" i="1"/>
  <c r="I79" i="1" s="1"/>
  <c r="Q79" i="1"/>
  <c r="J79" i="1"/>
  <c r="K152" i="1"/>
  <c r="N152" i="1"/>
  <c r="D64" i="10"/>
  <c r="E64" i="10" s="1"/>
  <c r="B60" i="8"/>
  <c r="G60" i="8" s="1"/>
  <c r="E38" i="7"/>
  <c r="D38" i="7"/>
  <c r="B120" i="10"/>
  <c r="A116" i="8"/>
  <c r="H116" i="8" s="1"/>
  <c r="E115" i="8"/>
  <c r="A110" i="7"/>
  <c r="C110" i="7" s="1"/>
  <c r="D152" i="1"/>
  <c r="B153" i="1"/>
  <c r="E152" i="1"/>
  <c r="K106" i="4"/>
  <c r="C146" i="1" s="1"/>
  <c r="G79" i="1" l="1"/>
  <c r="O79" i="1" s="1"/>
  <c r="K153" i="1"/>
  <c r="N153" i="1"/>
  <c r="C65" i="10"/>
  <c r="D60" i="8"/>
  <c r="C60" i="8" s="1"/>
  <c r="F60" i="8"/>
  <c r="I60" i="8" s="1"/>
  <c r="J60" i="8" s="1"/>
  <c r="B121" i="10"/>
  <c r="A117" i="8"/>
  <c r="H117" i="8" s="1"/>
  <c r="E116" i="8"/>
  <c r="A111" i="7"/>
  <c r="C111" i="7" s="1"/>
  <c r="B154" i="1"/>
  <c r="D153" i="1"/>
  <c r="E153" i="1"/>
  <c r="K107" i="4"/>
  <c r="C147" i="1" s="1"/>
  <c r="P79" i="1" l="1"/>
  <c r="F80" i="1" s="1"/>
  <c r="L80" i="1" s="1"/>
  <c r="K154" i="1"/>
  <c r="N154" i="1"/>
  <c r="B61" i="8"/>
  <c r="G61" i="8" s="1"/>
  <c r="D65" i="10"/>
  <c r="E65" i="10" s="1"/>
  <c r="B122" i="10"/>
  <c r="A118" i="8"/>
  <c r="H118" i="8" s="1"/>
  <c r="E117" i="8"/>
  <c r="Q80" i="1"/>
  <c r="B39" i="7"/>
  <c r="J80" i="1"/>
  <c r="A112" i="7"/>
  <c r="C112" i="7" s="1"/>
  <c r="D154" i="1"/>
  <c r="B155" i="1"/>
  <c r="E154" i="1"/>
  <c r="K108" i="4"/>
  <c r="C148" i="1" s="1"/>
  <c r="H80" i="1" l="1"/>
  <c r="I80" i="1" s="1"/>
  <c r="K155" i="1"/>
  <c r="N155" i="1"/>
  <c r="C66" i="10"/>
  <c r="F61" i="8"/>
  <c r="I61" i="8" s="1"/>
  <c r="J61" i="8" s="1"/>
  <c r="D61" i="8"/>
  <c r="C61" i="8" s="1"/>
  <c r="E39" i="7"/>
  <c r="D39" i="7"/>
  <c r="B123" i="10"/>
  <c r="A119" i="8"/>
  <c r="H119" i="8" s="1"/>
  <c r="E118" i="8"/>
  <c r="A113" i="7"/>
  <c r="C113" i="7" s="1"/>
  <c r="B156" i="1"/>
  <c r="D155" i="1"/>
  <c r="E155" i="1"/>
  <c r="K109" i="4"/>
  <c r="C149" i="1" s="1"/>
  <c r="G80" i="1" l="1"/>
  <c r="O80" i="1" s="1"/>
  <c r="K156" i="1"/>
  <c r="N156" i="1"/>
  <c r="D66" i="10"/>
  <c r="E66" i="10" s="1"/>
  <c r="B62" i="8"/>
  <c r="G62" i="8" s="1"/>
  <c r="B124" i="10"/>
  <c r="A120" i="8"/>
  <c r="H120" i="8" s="1"/>
  <c r="E119" i="8"/>
  <c r="A114" i="7"/>
  <c r="C114" i="7" s="1"/>
  <c r="B157" i="1"/>
  <c r="E156" i="1"/>
  <c r="D156" i="1"/>
  <c r="K110" i="4"/>
  <c r="C150" i="1" s="1"/>
  <c r="P80" i="1" l="1"/>
  <c r="F81" i="1" s="1"/>
  <c r="L81" i="1" s="1"/>
  <c r="K157" i="1"/>
  <c r="N157" i="1"/>
  <c r="F62" i="8"/>
  <c r="I62" i="8" s="1"/>
  <c r="J62" i="8" s="1"/>
  <c r="D62" i="8"/>
  <c r="C62" i="8" s="1"/>
  <c r="C67" i="10"/>
  <c r="B125" i="10"/>
  <c r="A121" i="8"/>
  <c r="H121" i="8" s="1"/>
  <c r="E120" i="8"/>
  <c r="A115" i="7"/>
  <c r="C115" i="7" s="1"/>
  <c r="B158" i="1"/>
  <c r="D157" i="1"/>
  <c r="E157" i="1"/>
  <c r="K111" i="4"/>
  <c r="C151" i="1" s="1"/>
  <c r="B40" i="7" l="1"/>
  <c r="J81" i="1"/>
  <c r="Q81" i="1"/>
  <c r="H81" i="1"/>
  <c r="I81" i="1" s="1"/>
  <c r="K158" i="1"/>
  <c r="N158" i="1"/>
  <c r="B63" i="8"/>
  <c r="G63" i="8" s="1"/>
  <c r="D67" i="10"/>
  <c r="E67" i="10" s="1"/>
  <c r="E40" i="7"/>
  <c r="G81" i="1" s="1"/>
  <c r="D40" i="7"/>
  <c r="B126" i="10"/>
  <c r="A122" i="8"/>
  <c r="H122" i="8" s="1"/>
  <c r="E121" i="8"/>
  <c r="A116" i="7"/>
  <c r="C116" i="7" s="1"/>
  <c r="D158" i="1"/>
  <c r="E158" i="1"/>
  <c r="B159" i="1"/>
  <c r="K112" i="4"/>
  <c r="C152" i="1" s="1"/>
  <c r="O81" i="1" l="1"/>
  <c r="K159" i="1"/>
  <c r="N159" i="1"/>
  <c r="C68" i="10"/>
  <c r="D63" i="8"/>
  <c r="C63" i="8" s="1"/>
  <c r="F63" i="8"/>
  <c r="I63" i="8" s="1"/>
  <c r="J63" i="8" s="1"/>
  <c r="B127" i="10"/>
  <c r="A123" i="8"/>
  <c r="H123" i="8" s="1"/>
  <c r="E122" i="8"/>
  <c r="A117" i="7"/>
  <c r="C117" i="7" s="1"/>
  <c r="P81" i="1"/>
  <c r="F82" i="1" s="1"/>
  <c r="L82" i="1" s="1"/>
  <c r="B160" i="1"/>
  <c r="D159" i="1"/>
  <c r="E159" i="1"/>
  <c r="K113" i="4"/>
  <c r="C153" i="1" s="1"/>
  <c r="K160" i="1" l="1"/>
  <c r="N160" i="1"/>
  <c r="B64" i="8"/>
  <c r="G64" i="8" s="1"/>
  <c r="D68" i="10"/>
  <c r="E68" i="10" s="1"/>
  <c r="B128" i="10"/>
  <c r="A124" i="8"/>
  <c r="H124" i="8" s="1"/>
  <c r="E123" i="8"/>
  <c r="J82" i="1"/>
  <c r="Q82" i="1"/>
  <c r="H82" i="1"/>
  <c r="I82" i="1" s="1"/>
  <c r="B41" i="7"/>
  <c r="A118" i="7"/>
  <c r="C118" i="7" s="1"/>
  <c r="B161" i="1"/>
  <c r="D160" i="1"/>
  <c r="E160" i="1"/>
  <c r="K114" i="4"/>
  <c r="C154" i="1" s="1"/>
  <c r="K161" i="1" l="1"/>
  <c r="N161" i="1"/>
  <c r="F64" i="8"/>
  <c r="I64" i="8" s="1"/>
  <c r="J64" i="8" s="1"/>
  <c r="D64" i="8"/>
  <c r="C64" i="8" s="1"/>
  <c r="C69" i="10"/>
  <c r="D41" i="7"/>
  <c r="E41" i="7"/>
  <c r="B129" i="10"/>
  <c r="A125" i="8"/>
  <c r="H125" i="8" s="1"/>
  <c r="E124" i="8"/>
  <c r="A119" i="7"/>
  <c r="C119" i="7" s="1"/>
  <c r="B162" i="1"/>
  <c r="D161" i="1"/>
  <c r="E161" i="1"/>
  <c r="K115" i="4"/>
  <c r="C155" i="1" s="1"/>
  <c r="K162" i="1" l="1"/>
  <c r="N162" i="1"/>
  <c r="B65" i="8"/>
  <c r="G65" i="8" s="1"/>
  <c r="D69" i="10"/>
  <c r="E69" i="10" s="1"/>
  <c r="B130" i="10"/>
  <c r="A126" i="8"/>
  <c r="H126" i="8" s="1"/>
  <c r="E125" i="8"/>
  <c r="A120" i="7"/>
  <c r="C120" i="7" s="1"/>
  <c r="G82" i="1"/>
  <c r="O82" i="1" s="1"/>
  <c r="D162" i="1"/>
  <c r="B163" i="1"/>
  <c r="E162" i="1"/>
  <c r="K116" i="4"/>
  <c r="C156" i="1" s="1"/>
  <c r="K163" i="1" l="1"/>
  <c r="N163" i="1"/>
  <c r="D65" i="8"/>
  <c r="C65" i="8" s="1"/>
  <c r="C70" i="10"/>
  <c r="F65" i="8"/>
  <c r="I65" i="8" s="1"/>
  <c r="J65" i="8" s="1"/>
  <c r="B131" i="10"/>
  <c r="A127" i="8"/>
  <c r="H127" i="8" s="1"/>
  <c r="E126" i="8"/>
  <c r="P82" i="1"/>
  <c r="F83" i="1" s="1"/>
  <c r="L83" i="1" s="1"/>
  <c r="A121" i="7"/>
  <c r="C121" i="7" s="1"/>
  <c r="B164" i="1"/>
  <c r="E163" i="1"/>
  <c r="D163" i="1"/>
  <c r="K117" i="4"/>
  <c r="C157" i="1" s="1"/>
  <c r="K164" i="1" l="1"/>
  <c r="N164" i="1"/>
  <c r="B66" i="8"/>
  <c r="G66" i="8" s="1"/>
  <c r="D70" i="10"/>
  <c r="E70" i="10" s="1"/>
  <c r="B132" i="10"/>
  <c r="A128" i="8"/>
  <c r="H128" i="8" s="1"/>
  <c r="E127" i="8"/>
  <c r="A122" i="7"/>
  <c r="C122" i="7" s="1"/>
  <c r="H83" i="1"/>
  <c r="I83" i="1" s="1"/>
  <c r="B42" i="7"/>
  <c r="J83" i="1"/>
  <c r="Q83" i="1"/>
  <c r="D164" i="1"/>
  <c r="B165" i="1"/>
  <c r="E164" i="1"/>
  <c r="K118" i="4"/>
  <c r="C158" i="1" s="1"/>
  <c r="K165" i="1" l="1"/>
  <c r="N165" i="1"/>
  <c r="F66" i="8"/>
  <c r="I66" i="8" s="1"/>
  <c r="J66" i="8" s="1"/>
  <c r="C71" i="10"/>
  <c r="D66" i="8"/>
  <c r="C66" i="8" s="1"/>
  <c r="D71" i="10" s="1"/>
  <c r="E42" i="7"/>
  <c r="G83" i="1" s="1"/>
  <c r="O83" i="1" s="1"/>
  <c r="D42" i="7"/>
  <c r="B133" i="10"/>
  <c r="A129" i="8"/>
  <c r="H129" i="8" s="1"/>
  <c r="E128" i="8"/>
  <c r="A123" i="7"/>
  <c r="C123" i="7" s="1"/>
  <c r="B166" i="1"/>
  <c r="D165" i="1"/>
  <c r="E165" i="1"/>
  <c r="K119" i="4"/>
  <c r="C159" i="1" s="1"/>
  <c r="K166" i="1" l="1"/>
  <c r="E71" i="10"/>
  <c r="N166" i="1"/>
  <c r="B67" i="8"/>
  <c r="G67" i="8" s="1"/>
  <c r="B134" i="10"/>
  <c r="A130" i="8"/>
  <c r="H130" i="8" s="1"/>
  <c r="E129" i="8"/>
  <c r="A124" i="7"/>
  <c r="C124" i="7" s="1"/>
  <c r="P83" i="1"/>
  <c r="F84" i="1" s="1"/>
  <c r="L84" i="1" s="1"/>
  <c r="B167" i="1"/>
  <c r="D166" i="1"/>
  <c r="E166" i="1"/>
  <c r="K120" i="4"/>
  <c r="C160" i="1" s="1"/>
  <c r="K167" i="1" l="1"/>
  <c r="N167" i="1"/>
  <c r="C72" i="10"/>
  <c r="D67" i="8"/>
  <c r="C67" i="8" s="1"/>
  <c r="D72" i="10" s="1"/>
  <c r="F67" i="8"/>
  <c r="I67" i="8" s="1"/>
  <c r="J67" i="8" s="1"/>
  <c r="B135" i="10"/>
  <c r="A131" i="8"/>
  <c r="H131" i="8" s="1"/>
  <c r="E130" i="8"/>
  <c r="B43" i="7"/>
  <c r="Q84" i="1"/>
  <c r="H84" i="1"/>
  <c r="I84" i="1" s="1"/>
  <c r="J84" i="1"/>
  <c r="A125" i="7"/>
  <c r="C125" i="7" s="1"/>
  <c r="B168" i="1"/>
  <c r="D167" i="1"/>
  <c r="E167" i="1"/>
  <c r="K121" i="4"/>
  <c r="C161" i="1" s="1"/>
  <c r="E72" i="10" l="1"/>
  <c r="K168" i="1"/>
  <c r="N168" i="1"/>
  <c r="B68" i="8"/>
  <c r="G68" i="8" s="1"/>
  <c r="D43" i="7"/>
  <c r="E43" i="7"/>
  <c r="G84" i="1" s="1"/>
  <c r="O84" i="1" s="1"/>
  <c r="B136" i="10"/>
  <c r="A132" i="8"/>
  <c r="H132" i="8" s="1"/>
  <c r="E131" i="8"/>
  <c r="A126" i="7"/>
  <c r="C126" i="7" s="1"/>
  <c r="B169" i="1"/>
  <c r="D168" i="1"/>
  <c r="E168" i="1"/>
  <c r="K122" i="4"/>
  <c r="C162" i="1" s="1"/>
  <c r="K169" i="1" l="1"/>
  <c r="N169" i="1"/>
  <c r="C73" i="10"/>
  <c r="F68" i="8"/>
  <c r="I68" i="8" s="1"/>
  <c r="J68" i="8" s="1"/>
  <c r="D68" i="8"/>
  <c r="C68" i="8" s="1"/>
  <c r="B137" i="10"/>
  <c r="A133" i="8"/>
  <c r="H133" i="8" s="1"/>
  <c r="E132" i="8"/>
  <c r="A127" i="7"/>
  <c r="C127" i="7" s="1"/>
  <c r="P84" i="1"/>
  <c r="F85" i="1" s="1"/>
  <c r="L85" i="1" s="1"/>
  <c r="D169" i="1"/>
  <c r="B170" i="1"/>
  <c r="E169" i="1"/>
  <c r="K123" i="4"/>
  <c r="C163" i="1" s="1"/>
  <c r="K170" i="1" l="1"/>
  <c r="N170" i="1"/>
  <c r="B69" i="8"/>
  <c r="G69" i="8" s="1"/>
  <c r="D73" i="10"/>
  <c r="E73" i="10" s="1"/>
  <c r="B138" i="10"/>
  <c r="A134" i="8"/>
  <c r="H134" i="8" s="1"/>
  <c r="E133" i="8"/>
  <c r="J85" i="1"/>
  <c r="B44" i="7"/>
  <c r="H85" i="1"/>
  <c r="I85" i="1" s="1"/>
  <c r="Q85" i="1"/>
  <c r="A128" i="7"/>
  <c r="C128" i="7" s="1"/>
  <c r="B171" i="1"/>
  <c r="E170" i="1"/>
  <c r="D170" i="1"/>
  <c r="K124" i="4"/>
  <c r="C164" i="1" s="1"/>
  <c r="K171" i="1" l="1"/>
  <c r="N171" i="1"/>
  <c r="D69" i="8"/>
  <c r="C69" i="8" s="1"/>
  <c r="D74" i="10" s="1"/>
  <c r="F69" i="8"/>
  <c r="I69" i="8" s="1"/>
  <c r="J69" i="8" s="1"/>
  <c r="C74" i="10"/>
  <c r="E44" i="7"/>
  <c r="D44" i="7"/>
  <c r="B139" i="10"/>
  <c r="A135" i="8"/>
  <c r="H135" i="8" s="1"/>
  <c r="E134" i="8"/>
  <c r="A129" i="7"/>
  <c r="C129" i="7" s="1"/>
  <c r="D171" i="1"/>
  <c r="B172" i="1"/>
  <c r="E171" i="1"/>
  <c r="K125" i="4"/>
  <c r="C165" i="1" s="1"/>
  <c r="K172" i="1" l="1"/>
  <c r="N172" i="1"/>
  <c r="E74" i="10"/>
  <c r="B70" i="8"/>
  <c r="G70" i="8" s="1"/>
  <c r="B140" i="10"/>
  <c r="A136" i="8"/>
  <c r="H136" i="8" s="1"/>
  <c r="E135" i="8"/>
  <c r="G85" i="1"/>
  <c r="O85" i="1" s="1"/>
  <c r="A130" i="7"/>
  <c r="C130" i="7" s="1"/>
  <c r="B173" i="1"/>
  <c r="E172" i="1"/>
  <c r="D172" i="1"/>
  <c r="K126" i="4"/>
  <c r="C166" i="1" s="1"/>
  <c r="K173" i="1" l="1"/>
  <c r="N173" i="1"/>
  <c r="C75" i="10"/>
  <c r="D70" i="8"/>
  <c r="C70" i="8" s="1"/>
  <c r="F70" i="8"/>
  <c r="I70" i="8" s="1"/>
  <c r="J70" i="8" s="1"/>
  <c r="B141" i="10"/>
  <c r="A137" i="8"/>
  <c r="H137" i="8" s="1"/>
  <c r="E136" i="8"/>
  <c r="P85" i="1"/>
  <c r="F86" i="1" s="1"/>
  <c r="A131" i="7"/>
  <c r="C131" i="7" s="1"/>
  <c r="E173" i="1"/>
  <c r="B174" i="1"/>
  <c r="D173" i="1"/>
  <c r="K127" i="4"/>
  <c r="C167" i="1" s="1"/>
  <c r="K174" i="1" l="1"/>
  <c r="H86" i="1"/>
  <c r="I86" i="1" s="1"/>
  <c r="L86" i="1"/>
  <c r="N174" i="1"/>
  <c r="B71" i="8"/>
  <c r="G71" i="8" s="1"/>
  <c r="D75" i="10"/>
  <c r="E75" i="10" s="1"/>
  <c r="B45" i="7"/>
  <c r="J86" i="1"/>
  <c r="Q86" i="1"/>
  <c r="B142" i="10"/>
  <c r="A138" i="8"/>
  <c r="H138" i="8" s="1"/>
  <c r="E137" i="8"/>
  <c r="A132" i="7"/>
  <c r="C132" i="7" s="1"/>
  <c r="B175" i="1"/>
  <c r="D174" i="1"/>
  <c r="E174" i="1"/>
  <c r="K128" i="4"/>
  <c r="C168" i="1" s="1"/>
  <c r="K175" i="1" l="1"/>
  <c r="N175" i="1"/>
  <c r="D71" i="8"/>
  <c r="C71" i="8" s="1"/>
  <c r="F71" i="8"/>
  <c r="I71" i="8" s="1"/>
  <c r="J71" i="8" s="1"/>
  <c r="C76" i="10"/>
  <c r="D45" i="7"/>
  <c r="E45" i="7"/>
  <c r="G86" i="1" s="1"/>
  <c r="O86" i="1" s="1"/>
  <c r="B143" i="10"/>
  <c r="A139" i="8"/>
  <c r="H139" i="8" s="1"/>
  <c r="E138" i="8"/>
  <c r="A133" i="7"/>
  <c r="C133" i="7" s="1"/>
  <c r="B176" i="1"/>
  <c r="D175" i="1"/>
  <c r="E175" i="1"/>
  <c r="K129" i="4"/>
  <c r="C169" i="1" s="1"/>
  <c r="K176" i="1" l="1"/>
  <c r="N176" i="1"/>
  <c r="D76" i="10"/>
  <c r="E76" i="10" s="1"/>
  <c r="B72" i="8"/>
  <c r="G72" i="8" s="1"/>
  <c r="P86" i="1"/>
  <c r="F87" i="1" s="1"/>
  <c r="L87" i="1" s="1"/>
  <c r="B144" i="10"/>
  <c r="A140" i="8"/>
  <c r="H140" i="8" s="1"/>
  <c r="E139" i="8"/>
  <c r="A134" i="7"/>
  <c r="C134" i="7" s="1"/>
  <c r="D176" i="1"/>
  <c r="E176" i="1"/>
  <c r="B177" i="1"/>
  <c r="K130" i="4"/>
  <c r="C170" i="1" s="1"/>
  <c r="K177" i="1" l="1"/>
  <c r="N177" i="1"/>
  <c r="B46" i="7"/>
  <c r="E46" i="7" s="1"/>
  <c r="Q87" i="1"/>
  <c r="C77" i="10"/>
  <c r="F72" i="8"/>
  <c r="I72" i="8" s="1"/>
  <c r="J72" i="8" s="1"/>
  <c r="D72" i="8"/>
  <c r="C72" i="8" s="1"/>
  <c r="H87" i="1"/>
  <c r="I87" i="1" s="1"/>
  <c r="J87" i="1"/>
  <c r="B145" i="10"/>
  <c r="A141" i="8"/>
  <c r="H141" i="8" s="1"/>
  <c r="E140" i="8"/>
  <c r="A135" i="7"/>
  <c r="C135" i="7" s="1"/>
  <c r="B178" i="1"/>
  <c r="D177" i="1"/>
  <c r="E177" i="1"/>
  <c r="K131" i="4"/>
  <c r="C171" i="1" s="1"/>
  <c r="K178" i="1" l="1"/>
  <c r="D46" i="7"/>
  <c r="G87" i="1" s="1"/>
  <c r="N178" i="1"/>
  <c r="D77" i="10"/>
  <c r="E77" i="10" s="1"/>
  <c r="B73" i="8"/>
  <c r="G73" i="8" s="1"/>
  <c r="B146" i="10"/>
  <c r="A142" i="8"/>
  <c r="H142" i="8" s="1"/>
  <c r="E141" i="8"/>
  <c r="A136" i="7"/>
  <c r="C136" i="7" s="1"/>
  <c r="B179" i="1"/>
  <c r="E178" i="1"/>
  <c r="D178" i="1"/>
  <c r="K132" i="4"/>
  <c r="C172" i="1" s="1"/>
  <c r="O87" i="1" l="1"/>
  <c r="P87" i="1"/>
  <c r="F88" i="1" s="1"/>
  <c r="L88" i="1" s="1"/>
  <c r="K179" i="1"/>
  <c r="N179" i="1"/>
  <c r="F73" i="8"/>
  <c r="I73" i="8" s="1"/>
  <c r="J73" i="8" s="1"/>
  <c r="D73" i="8"/>
  <c r="C73" i="8" s="1"/>
  <c r="C78" i="10"/>
  <c r="B147" i="10"/>
  <c r="A143" i="8"/>
  <c r="H143" i="8" s="1"/>
  <c r="E142" i="8"/>
  <c r="A137" i="7"/>
  <c r="C137" i="7" s="1"/>
  <c r="D179" i="1"/>
  <c r="B180" i="1"/>
  <c r="E179" i="1"/>
  <c r="K133" i="4"/>
  <c r="C173" i="1" s="1"/>
  <c r="B47" i="7" l="1"/>
  <c r="J88" i="1"/>
  <c r="H88" i="1"/>
  <c r="I88" i="1" s="1"/>
  <c r="Q88" i="1"/>
  <c r="K180" i="1"/>
  <c r="N180" i="1"/>
  <c r="B74" i="8"/>
  <c r="G74" i="8" s="1"/>
  <c r="D78" i="10"/>
  <c r="E78" i="10" s="1"/>
  <c r="E47" i="7"/>
  <c r="D47" i="7"/>
  <c r="B148" i="10"/>
  <c r="A144" i="8"/>
  <c r="H144" i="8" s="1"/>
  <c r="E143" i="8"/>
  <c r="A138" i="7"/>
  <c r="C138" i="7" s="1"/>
  <c r="B181" i="1"/>
  <c r="E180" i="1"/>
  <c r="D180" i="1"/>
  <c r="K134" i="4"/>
  <c r="C174" i="1" s="1"/>
  <c r="K181" i="1" l="1"/>
  <c r="N181" i="1"/>
  <c r="G88" i="1"/>
  <c r="C79" i="10"/>
  <c r="D74" i="8"/>
  <c r="C74" i="8" s="1"/>
  <c r="F74" i="8"/>
  <c r="I74" i="8" s="1"/>
  <c r="J74" i="8" s="1"/>
  <c r="B149" i="10"/>
  <c r="A145" i="8"/>
  <c r="H145" i="8" s="1"/>
  <c r="E144" i="8"/>
  <c r="A139" i="7"/>
  <c r="C139" i="7" s="1"/>
  <c r="B182" i="1"/>
  <c r="D181" i="1"/>
  <c r="E181" i="1"/>
  <c r="K135" i="4"/>
  <c r="C175" i="1" s="1"/>
  <c r="P88" i="1" l="1"/>
  <c r="F89" i="1" s="1"/>
  <c r="L89" i="1" s="1"/>
  <c r="O88" i="1"/>
  <c r="K182" i="1"/>
  <c r="N182" i="1"/>
  <c r="B75" i="8"/>
  <c r="G75" i="8" s="1"/>
  <c r="D79" i="10"/>
  <c r="E79" i="10" s="1"/>
  <c r="B150" i="10"/>
  <c r="A146" i="8"/>
  <c r="H146" i="8" s="1"/>
  <c r="E145" i="8"/>
  <c r="A140" i="7"/>
  <c r="C140" i="7" s="1"/>
  <c r="B183" i="1"/>
  <c r="E182" i="1"/>
  <c r="D182" i="1"/>
  <c r="K136" i="4"/>
  <c r="C176" i="1" s="1"/>
  <c r="B48" i="7" l="1"/>
  <c r="J89" i="1"/>
  <c r="Q89" i="1"/>
  <c r="H89" i="1"/>
  <c r="I89" i="1" s="1"/>
  <c r="K183" i="1"/>
  <c r="N183" i="1"/>
  <c r="C80" i="10"/>
  <c r="D75" i="8"/>
  <c r="C75" i="8" s="1"/>
  <c r="F75" i="8"/>
  <c r="I75" i="8" s="1"/>
  <c r="J75" i="8" s="1"/>
  <c r="E48" i="7"/>
  <c r="D48" i="7"/>
  <c r="B151" i="10"/>
  <c r="A147" i="8"/>
  <c r="H147" i="8" s="1"/>
  <c r="E146" i="8"/>
  <c r="A141" i="7"/>
  <c r="C141" i="7" s="1"/>
  <c r="D183" i="1"/>
  <c r="B184" i="1"/>
  <c r="E183" i="1"/>
  <c r="K137" i="4"/>
  <c r="C177" i="1" s="1"/>
  <c r="G89" i="1" l="1"/>
  <c r="O89" i="1" s="1"/>
  <c r="K184" i="1"/>
  <c r="N184" i="1"/>
  <c r="B76" i="8"/>
  <c r="G76" i="8" s="1"/>
  <c r="D80" i="10"/>
  <c r="E80" i="10" s="1"/>
  <c r="B152" i="10"/>
  <c r="A148" i="8"/>
  <c r="H148" i="8" s="1"/>
  <c r="E147" i="8"/>
  <c r="A142" i="7"/>
  <c r="C142" i="7" s="1"/>
  <c r="D184" i="1"/>
  <c r="B185" i="1"/>
  <c r="E184" i="1"/>
  <c r="K138" i="4"/>
  <c r="C178" i="1" s="1"/>
  <c r="P89" i="1" l="1"/>
  <c r="F90" i="1" s="1"/>
  <c r="L90" i="1" s="1"/>
  <c r="K185" i="1"/>
  <c r="N185" i="1"/>
  <c r="F76" i="8"/>
  <c r="I76" i="8" s="1"/>
  <c r="J76" i="8" s="1"/>
  <c r="C81" i="10"/>
  <c r="D76" i="8"/>
  <c r="C76" i="8" s="1"/>
  <c r="B153" i="10"/>
  <c r="A149" i="8"/>
  <c r="H149" i="8" s="1"/>
  <c r="E148" i="8"/>
  <c r="B49" i="7"/>
  <c r="Q90" i="1"/>
  <c r="H90" i="1"/>
  <c r="I90" i="1" s="1"/>
  <c r="J90" i="1"/>
  <c r="A143" i="7"/>
  <c r="C143" i="7" s="1"/>
  <c r="E185" i="1"/>
  <c r="D185" i="1"/>
  <c r="B186" i="1"/>
  <c r="K139" i="4"/>
  <c r="C179" i="1" s="1"/>
  <c r="K186" i="1" l="1"/>
  <c r="N186" i="1"/>
  <c r="D81" i="10"/>
  <c r="E81" i="10" s="1"/>
  <c r="B77" i="8"/>
  <c r="G77" i="8" s="1"/>
  <c r="D49" i="7"/>
  <c r="E49" i="7"/>
  <c r="G90" i="1" s="1"/>
  <c r="O90" i="1" s="1"/>
  <c r="B154" i="10"/>
  <c r="A150" i="8"/>
  <c r="H150" i="8" s="1"/>
  <c r="E149" i="8"/>
  <c r="A144" i="7"/>
  <c r="C144" i="7" s="1"/>
  <c r="B187" i="1"/>
  <c r="D186" i="1"/>
  <c r="E186" i="1"/>
  <c r="K140" i="4"/>
  <c r="C180" i="1" s="1"/>
  <c r="K187" i="1" l="1"/>
  <c r="N187" i="1"/>
  <c r="C82" i="10"/>
  <c r="F77" i="8"/>
  <c r="I77" i="8" s="1"/>
  <c r="J77" i="8" s="1"/>
  <c r="D77" i="8"/>
  <c r="C77" i="8" s="1"/>
  <c r="B155" i="10"/>
  <c r="A151" i="8"/>
  <c r="H151" i="8" s="1"/>
  <c r="E150" i="8"/>
  <c r="P90" i="1"/>
  <c r="F91" i="1" s="1"/>
  <c r="L91" i="1" s="1"/>
  <c r="A145" i="7"/>
  <c r="C145" i="7" s="1"/>
  <c r="B188" i="1"/>
  <c r="D187" i="1"/>
  <c r="E187" i="1"/>
  <c r="K141" i="4"/>
  <c r="C181" i="1" s="1"/>
  <c r="K188" i="1" l="1"/>
  <c r="N188" i="1"/>
  <c r="B78" i="8"/>
  <c r="G78" i="8" s="1"/>
  <c r="D82" i="10"/>
  <c r="E82" i="10" s="1"/>
  <c r="B156" i="10"/>
  <c r="A152" i="8"/>
  <c r="H152" i="8" s="1"/>
  <c r="E151" i="8"/>
  <c r="A146" i="7"/>
  <c r="C146" i="7" s="1"/>
  <c r="H91" i="1"/>
  <c r="I91" i="1" s="1"/>
  <c r="J91" i="1"/>
  <c r="B50" i="7"/>
  <c r="Q91" i="1"/>
  <c r="B189" i="1"/>
  <c r="D188" i="1"/>
  <c r="E188" i="1"/>
  <c r="K142" i="4"/>
  <c r="C182" i="1" s="1"/>
  <c r="K189" i="1" l="1"/>
  <c r="N189" i="1"/>
  <c r="F78" i="8"/>
  <c r="I78" i="8" s="1"/>
  <c r="J78" i="8" s="1"/>
  <c r="D78" i="8"/>
  <c r="C78" i="8" s="1"/>
  <c r="C83" i="10"/>
  <c r="E50" i="7"/>
  <c r="D50" i="7"/>
  <c r="B157" i="10"/>
  <c r="A153" i="8"/>
  <c r="H153" i="8" s="1"/>
  <c r="E152" i="8"/>
  <c r="A147" i="7"/>
  <c r="C147" i="7" s="1"/>
  <c r="E189" i="1"/>
  <c r="B190" i="1"/>
  <c r="D189" i="1"/>
  <c r="K143" i="4"/>
  <c r="C183" i="1" s="1"/>
  <c r="K190" i="1" l="1"/>
  <c r="N190" i="1"/>
  <c r="D83" i="10"/>
  <c r="E83" i="10" s="1"/>
  <c r="B79" i="8"/>
  <c r="G79" i="8" s="1"/>
  <c r="G91" i="1"/>
  <c r="O91" i="1" s="1"/>
  <c r="B158" i="10"/>
  <c r="A154" i="8"/>
  <c r="H154" i="8" s="1"/>
  <c r="E153" i="8"/>
  <c r="A148" i="7"/>
  <c r="C148" i="7" s="1"/>
  <c r="B191" i="1"/>
  <c r="D190" i="1"/>
  <c r="E190" i="1"/>
  <c r="K144" i="4"/>
  <c r="C184" i="1" s="1"/>
  <c r="K191" i="1" l="1"/>
  <c r="N191" i="1"/>
  <c r="D79" i="8"/>
  <c r="C79" i="8" s="1"/>
  <c r="C84" i="10"/>
  <c r="F79" i="8"/>
  <c r="I79" i="8" s="1"/>
  <c r="J79" i="8" s="1"/>
  <c r="P91" i="1"/>
  <c r="F92" i="1" s="1"/>
  <c r="B159" i="10"/>
  <c r="A155" i="8"/>
  <c r="H155" i="8" s="1"/>
  <c r="E154" i="8"/>
  <c r="A149" i="7"/>
  <c r="C149" i="7" s="1"/>
  <c r="B192" i="1"/>
  <c r="E191" i="1"/>
  <c r="D191" i="1"/>
  <c r="K145" i="4"/>
  <c r="C185" i="1" s="1"/>
  <c r="K192" i="1" l="1"/>
  <c r="B51" i="7"/>
  <c r="L92" i="1"/>
  <c r="N192" i="1"/>
  <c r="H92" i="1"/>
  <c r="I92" i="1" s="1"/>
  <c r="J92" i="1"/>
  <c r="Q92" i="1"/>
  <c r="D84" i="10"/>
  <c r="E84" i="10" s="1"/>
  <c r="B80" i="8"/>
  <c r="G80" i="8" s="1"/>
  <c r="D51" i="7"/>
  <c r="E51" i="7"/>
  <c r="B160" i="10"/>
  <c r="A156" i="8"/>
  <c r="H156" i="8" s="1"/>
  <c r="E155" i="8"/>
  <c r="A150" i="7"/>
  <c r="C150" i="7" s="1"/>
  <c r="B193" i="1"/>
  <c r="D192" i="1"/>
  <c r="E192" i="1"/>
  <c r="K146" i="4"/>
  <c r="C186" i="1" s="1"/>
  <c r="K193" i="1" l="1"/>
  <c r="N193" i="1"/>
  <c r="G92" i="1"/>
  <c r="O92" i="1" s="1"/>
  <c r="C85" i="10"/>
  <c r="F80" i="8"/>
  <c r="I80" i="8" s="1"/>
  <c r="J80" i="8" s="1"/>
  <c r="D80" i="8"/>
  <c r="C80" i="8" s="1"/>
  <c r="B161" i="10"/>
  <c r="A157" i="8"/>
  <c r="H157" i="8" s="1"/>
  <c r="E156" i="8"/>
  <c r="A151" i="7"/>
  <c r="C151" i="7" s="1"/>
  <c r="B194" i="1"/>
  <c r="D193" i="1"/>
  <c r="E193" i="1"/>
  <c r="K147" i="4"/>
  <c r="C187" i="1" s="1"/>
  <c r="K194" i="1" l="1"/>
  <c r="P92" i="1"/>
  <c r="F93" i="1" s="1"/>
  <c r="N194" i="1"/>
  <c r="B81" i="8"/>
  <c r="G81" i="8" s="1"/>
  <c r="D85" i="10"/>
  <c r="E85" i="10" s="1"/>
  <c r="B162" i="10"/>
  <c r="A158" i="8"/>
  <c r="H158" i="8" s="1"/>
  <c r="E157" i="8"/>
  <c r="A152" i="7"/>
  <c r="C152" i="7" s="1"/>
  <c r="B195" i="1"/>
  <c r="E194" i="1"/>
  <c r="D194" i="1"/>
  <c r="K148" i="4"/>
  <c r="C188" i="1" s="1"/>
  <c r="K195" i="1" l="1"/>
  <c r="B52" i="7"/>
  <c r="E52" i="7" s="1"/>
  <c r="L93" i="1"/>
  <c r="Q93" i="1"/>
  <c r="H93" i="1"/>
  <c r="I93" i="1" s="1"/>
  <c r="J93" i="1"/>
  <c r="N195" i="1"/>
  <c r="D81" i="8"/>
  <c r="C81" i="8" s="1"/>
  <c r="F81" i="8"/>
  <c r="I81" i="8" s="1"/>
  <c r="J81" i="8" s="1"/>
  <c r="C86" i="10"/>
  <c r="D52" i="7"/>
  <c r="B163" i="10"/>
  <c r="A159" i="8"/>
  <c r="H159" i="8" s="1"/>
  <c r="E158" i="8"/>
  <c r="A153" i="7"/>
  <c r="C153" i="7" s="1"/>
  <c r="B196" i="1"/>
  <c r="D195" i="1"/>
  <c r="E195" i="1"/>
  <c r="K149" i="4"/>
  <c r="C189" i="1" s="1"/>
  <c r="G93" i="1" l="1"/>
  <c r="O93" i="1" s="1"/>
  <c r="K196" i="1"/>
  <c r="N196" i="1"/>
  <c r="B82" i="8"/>
  <c r="G82" i="8" s="1"/>
  <c r="D86" i="10"/>
  <c r="E86" i="10" s="1"/>
  <c r="B164" i="10"/>
  <c r="A160" i="8"/>
  <c r="H160" i="8" s="1"/>
  <c r="E159" i="8"/>
  <c r="A154" i="7"/>
  <c r="C154" i="7" s="1"/>
  <c r="B197" i="1"/>
  <c r="E196" i="1"/>
  <c r="D196" i="1"/>
  <c r="K150" i="4"/>
  <c r="C190" i="1" s="1"/>
  <c r="P93" i="1" l="1"/>
  <c r="F94" i="1" s="1"/>
  <c r="L94" i="1" s="1"/>
  <c r="K197" i="1"/>
  <c r="N197" i="1"/>
  <c r="F82" i="8"/>
  <c r="I82" i="8" s="1"/>
  <c r="J82" i="8" s="1"/>
  <c r="D82" i="8"/>
  <c r="C82" i="8" s="1"/>
  <c r="C87" i="10"/>
  <c r="B165" i="10"/>
  <c r="A161" i="8"/>
  <c r="H161" i="8" s="1"/>
  <c r="E160" i="8"/>
  <c r="B53" i="7"/>
  <c r="J94" i="1"/>
  <c r="H94" i="1"/>
  <c r="I94" i="1" s="1"/>
  <c r="Q94" i="1"/>
  <c r="A155" i="7"/>
  <c r="C155" i="7" s="1"/>
  <c r="B198" i="1"/>
  <c r="E197" i="1"/>
  <c r="D197" i="1"/>
  <c r="K151" i="4"/>
  <c r="C191" i="1" s="1"/>
  <c r="K198" i="1" l="1"/>
  <c r="N198" i="1"/>
  <c r="B83" i="8"/>
  <c r="G83" i="8" s="1"/>
  <c r="D87" i="10"/>
  <c r="E87" i="10" s="1"/>
  <c r="D53" i="7"/>
  <c r="E53" i="7"/>
  <c r="G94" i="1" s="1"/>
  <c r="O94" i="1" s="1"/>
  <c r="B166" i="10"/>
  <c r="A162" i="8"/>
  <c r="H162" i="8" s="1"/>
  <c r="E161" i="8"/>
  <c r="A156" i="7"/>
  <c r="C156" i="7" s="1"/>
  <c r="B199" i="1"/>
  <c r="D198" i="1"/>
  <c r="E198" i="1"/>
  <c r="K152" i="4"/>
  <c r="C192" i="1" s="1"/>
  <c r="K199" i="1" l="1"/>
  <c r="N199" i="1"/>
  <c r="D83" i="8"/>
  <c r="C83" i="8" s="1"/>
  <c r="F83" i="8"/>
  <c r="I83" i="8" s="1"/>
  <c r="J83" i="8" s="1"/>
  <c r="C88" i="10"/>
  <c r="B167" i="10"/>
  <c r="A163" i="8"/>
  <c r="H163" i="8" s="1"/>
  <c r="E162" i="8"/>
  <c r="P94" i="1"/>
  <c r="F95" i="1" s="1"/>
  <c r="L95" i="1" s="1"/>
  <c r="A157" i="7"/>
  <c r="C157" i="7" s="1"/>
  <c r="B200" i="1"/>
  <c r="E199" i="1"/>
  <c r="D199" i="1"/>
  <c r="K153" i="4"/>
  <c r="C193" i="1" s="1"/>
  <c r="K200" i="1" l="1"/>
  <c r="N200" i="1"/>
  <c r="B84" i="8"/>
  <c r="G84" i="8" s="1"/>
  <c r="D88" i="10"/>
  <c r="E88" i="10" s="1"/>
  <c r="B168" i="10"/>
  <c r="A164" i="8"/>
  <c r="H164" i="8" s="1"/>
  <c r="E163" i="8"/>
  <c r="A158" i="7"/>
  <c r="C158" i="7" s="1"/>
  <c r="J95" i="1"/>
  <c r="B54" i="7"/>
  <c r="H95" i="1"/>
  <c r="I95" i="1" s="1"/>
  <c r="Q95" i="1"/>
  <c r="B201" i="1"/>
  <c r="D200" i="1"/>
  <c r="E200" i="1"/>
  <c r="K154" i="4"/>
  <c r="C194" i="1" s="1"/>
  <c r="K201" i="1" l="1"/>
  <c r="N201" i="1"/>
  <c r="C89" i="10"/>
  <c r="D84" i="8"/>
  <c r="C84" i="8" s="1"/>
  <c r="F84" i="8"/>
  <c r="I84" i="8" s="1"/>
  <c r="J84" i="8" s="1"/>
  <c r="E54" i="7"/>
  <c r="D54" i="7"/>
  <c r="B169" i="10"/>
  <c r="A165" i="8"/>
  <c r="H165" i="8" s="1"/>
  <c r="E164" i="8"/>
  <c r="A159" i="7"/>
  <c r="C159" i="7" s="1"/>
  <c r="B202" i="1"/>
  <c r="D201" i="1"/>
  <c r="E201" i="1"/>
  <c r="K155" i="4"/>
  <c r="C195" i="1" s="1"/>
  <c r="G95" i="1" l="1"/>
  <c r="O95" i="1" s="1"/>
  <c r="K202" i="1"/>
  <c r="N202" i="1"/>
  <c r="B85" i="8"/>
  <c r="G85" i="8" s="1"/>
  <c r="D89" i="10"/>
  <c r="E89" i="10" s="1"/>
  <c r="B170" i="10"/>
  <c r="A166" i="8"/>
  <c r="H166" i="8" s="1"/>
  <c r="E165" i="8"/>
  <c r="A160" i="7"/>
  <c r="C160" i="7" s="1"/>
  <c r="B203" i="1"/>
  <c r="E202" i="1"/>
  <c r="D202" i="1"/>
  <c r="K156" i="4"/>
  <c r="C196" i="1" s="1"/>
  <c r="P95" i="1" l="1"/>
  <c r="F96" i="1" s="1"/>
  <c r="L96" i="1" s="1"/>
  <c r="K203" i="1"/>
  <c r="N203" i="1"/>
  <c r="F85" i="8"/>
  <c r="I85" i="8" s="1"/>
  <c r="J85" i="8" s="1"/>
  <c r="C90" i="10"/>
  <c r="D85" i="8"/>
  <c r="C85" i="8" s="1"/>
  <c r="B171" i="10"/>
  <c r="A167" i="8"/>
  <c r="H167" i="8" s="1"/>
  <c r="E166" i="8"/>
  <c r="H96" i="1"/>
  <c r="I96" i="1" s="1"/>
  <c r="A161" i="7"/>
  <c r="C161" i="7" s="1"/>
  <c r="B204" i="1"/>
  <c r="E203" i="1"/>
  <c r="D203" i="1"/>
  <c r="K157" i="4"/>
  <c r="C197" i="1" s="1"/>
  <c r="J96" i="1" l="1"/>
  <c r="Q96" i="1"/>
  <c r="B55" i="7"/>
  <c r="D55" i="7" s="1"/>
  <c r="K204" i="1"/>
  <c r="N204" i="1"/>
  <c r="B86" i="8"/>
  <c r="G86" i="8" s="1"/>
  <c r="D90" i="10"/>
  <c r="E90" i="10" s="1"/>
  <c r="E55" i="7"/>
  <c r="B172" i="10"/>
  <c r="A168" i="8"/>
  <c r="H168" i="8" s="1"/>
  <c r="E167" i="8"/>
  <c r="A162" i="7"/>
  <c r="C162" i="7" s="1"/>
  <c r="B205" i="1"/>
  <c r="E204" i="1"/>
  <c r="D204" i="1"/>
  <c r="K158" i="4"/>
  <c r="C198" i="1" s="1"/>
  <c r="K205" i="1" l="1"/>
  <c r="N205" i="1"/>
  <c r="C91" i="10"/>
  <c r="D86" i="8"/>
  <c r="C86" i="8" s="1"/>
  <c r="F86" i="8"/>
  <c r="I86" i="8" s="1"/>
  <c r="J86" i="8" s="1"/>
  <c r="B173" i="10"/>
  <c r="A169" i="8"/>
  <c r="H169" i="8" s="1"/>
  <c r="E168" i="8"/>
  <c r="G96" i="1"/>
  <c r="O96" i="1" s="1"/>
  <c r="A163" i="7"/>
  <c r="C163" i="7" s="1"/>
  <c r="B206" i="1"/>
  <c r="E205" i="1"/>
  <c r="D205" i="1"/>
  <c r="K159" i="4"/>
  <c r="C199" i="1" s="1"/>
  <c r="K206" i="1" l="1"/>
  <c r="N206" i="1"/>
  <c r="B87" i="8"/>
  <c r="G87" i="8" s="1"/>
  <c r="D91" i="10"/>
  <c r="E91" i="10" s="1"/>
  <c r="B174" i="10"/>
  <c r="A170" i="8"/>
  <c r="H170" i="8" s="1"/>
  <c r="E169" i="8"/>
  <c r="P96" i="1"/>
  <c r="F97" i="1" s="1"/>
  <c r="A164" i="7"/>
  <c r="C164" i="7" s="1"/>
  <c r="B207" i="1"/>
  <c r="D206" i="1"/>
  <c r="E206" i="1"/>
  <c r="K160" i="4"/>
  <c r="C200" i="1" s="1"/>
  <c r="K207" i="1" l="1"/>
  <c r="J97" i="1"/>
  <c r="L97" i="1"/>
  <c r="N207" i="1"/>
  <c r="C92" i="10"/>
  <c r="F87" i="8"/>
  <c r="I87" i="8" s="1"/>
  <c r="J87" i="8" s="1"/>
  <c r="D87" i="8"/>
  <c r="C87" i="8" s="1"/>
  <c r="D92" i="10" s="1"/>
  <c r="H97" i="1"/>
  <c r="I97" i="1" s="1"/>
  <c r="B56" i="7"/>
  <c r="Q97" i="1"/>
  <c r="B175" i="10"/>
  <c r="A171" i="8"/>
  <c r="H171" i="8" s="1"/>
  <c r="E170" i="8"/>
  <c r="A165" i="7"/>
  <c r="C165" i="7" s="1"/>
  <c r="E207" i="1"/>
  <c r="B208" i="1"/>
  <c r="D207" i="1"/>
  <c r="K161" i="4"/>
  <c r="C201" i="1" s="1"/>
  <c r="E92" i="10" l="1"/>
  <c r="K208" i="1"/>
  <c r="N208" i="1"/>
  <c r="B88" i="8"/>
  <c r="G88" i="8" s="1"/>
  <c r="E56" i="7"/>
  <c r="G97" i="1" s="1"/>
  <c r="O97" i="1" s="1"/>
  <c r="D56" i="7"/>
  <c r="B176" i="10"/>
  <c r="A172" i="8"/>
  <c r="H172" i="8" s="1"/>
  <c r="E171" i="8"/>
  <c r="A166" i="7"/>
  <c r="C166" i="7" s="1"/>
  <c r="B209" i="1"/>
  <c r="D208" i="1"/>
  <c r="E208" i="1"/>
  <c r="K162" i="4"/>
  <c r="C202" i="1" s="1"/>
  <c r="K209" i="1" l="1"/>
  <c r="N209" i="1"/>
  <c r="F88" i="8"/>
  <c r="I88" i="8" s="1"/>
  <c r="J88" i="8" s="1"/>
  <c r="C93" i="10"/>
  <c r="D88" i="8"/>
  <c r="C88" i="8" s="1"/>
  <c r="B177" i="10"/>
  <c r="A173" i="8"/>
  <c r="H173" i="8" s="1"/>
  <c r="E172" i="8"/>
  <c r="P97" i="1"/>
  <c r="F98" i="1" s="1"/>
  <c r="L98" i="1" s="1"/>
  <c r="A167" i="7"/>
  <c r="C167" i="7" s="1"/>
  <c r="B210" i="1"/>
  <c r="E209" i="1"/>
  <c r="D209" i="1"/>
  <c r="K163" i="4"/>
  <c r="C203" i="1" s="1"/>
  <c r="K210" i="1" l="1"/>
  <c r="N210" i="1"/>
  <c r="D93" i="10"/>
  <c r="E93" i="10" s="1"/>
  <c r="B89" i="8"/>
  <c r="G89" i="8" s="1"/>
  <c r="B178" i="10"/>
  <c r="A174" i="8"/>
  <c r="H174" i="8" s="1"/>
  <c r="E173" i="8"/>
  <c r="A168" i="7"/>
  <c r="C168" i="7" s="1"/>
  <c r="B57" i="7"/>
  <c r="H98" i="1"/>
  <c r="I98" i="1" s="1"/>
  <c r="J98" i="1"/>
  <c r="Q98" i="1"/>
  <c r="B211" i="1"/>
  <c r="D210" i="1"/>
  <c r="E210" i="1"/>
  <c r="K164" i="4"/>
  <c r="C204" i="1" s="1"/>
  <c r="K211" i="1" l="1"/>
  <c r="N211" i="1"/>
  <c r="D89" i="8"/>
  <c r="C89" i="8" s="1"/>
  <c r="C94" i="10"/>
  <c r="F89" i="8"/>
  <c r="I89" i="8" s="1"/>
  <c r="J89" i="8" s="1"/>
  <c r="E57" i="7"/>
  <c r="D57" i="7"/>
  <c r="B179" i="10"/>
  <c r="A175" i="8"/>
  <c r="H175" i="8" s="1"/>
  <c r="E174" i="8"/>
  <c r="A169" i="7"/>
  <c r="C169" i="7" s="1"/>
  <c r="B212" i="1"/>
  <c r="D211" i="1"/>
  <c r="E211" i="1"/>
  <c r="K165" i="4"/>
  <c r="C205" i="1" s="1"/>
  <c r="G98" i="1" l="1"/>
  <c r="O98" i="1" s="1"/>
  <c r="K212" i="1"/>
  <c r="N212" i="1"/>
  <c r="D94" i="10"/>
  <c r="E94" i="10" s="1"/>
  <c r="B90" i="8"/>
  <c r="G90" i="8" s="1"/>
  <c r="B180" i="10"/>
  <c r="A176" i="8"/>
  <c r="H176" i="8" s="1"/>
  <c r="E175" i="8"/>
  <c r="A170" i="7"/>
  <c r="C170" i="7" s="1"/>
  <c r="B213" i="1"/>
  <c r="D212" i="1"/>
  <c r="E212" i="1"/>
  <c r="K166" i="4"/>
  <c r="C206" i="1" s="1"/>
  <c r="P98" i="1" l="1"/>
  <c r="F99" i="1" s="1"/>
  <c r="L99" i="1" s="1"/>
  <c r="K213" i="1"/>
  <c r="N213" i="1"/>
  <c r="C95" i="10"/>
  <c r="D90" i="8"/>
  <c r="C90" i="8" s="1"/>
  <c r="F90" i="8"/>
  <c r="I90" i="8" s="1"/>
  <c r="J90" i="8" s="1"/>
  <c r="B181" i="10"/>
  <c r="A177" i="8"/>
  <c r="H177" i="8" s="1"/>
  <c r="E176" i="8"/>
  <c r="B58" i="7"/>
  <c r="Q99" i="1"/>
  <c r="H99" i="1"/>
  <c r="I99" i="1" s="1"/>
  <c r="J99" i="1"/>
  <c r="A171" i="7"/>
  <c r="C171" i="7" s="1"/>
  <c r="B214" i="1"/>
  <c r="D213" i="1"/>
  <c r="E213" i="1"/>
  <c r="K167" i="4"/>
  <c r="C207" i="1" s="1"/>
  <c r="K214" i="1" l="1"/>
  <c r="N214" i="1"/>
  <c r="D95" i="10"/>
  <c r="E95" i="10" s="1"/>
  <c r="B91" i="8"/>
  <c r="G91" i="8" s="1"/>
  <c r="E58" i="7"/>
  <c r="D58" i="7"/>
  <c r="B182" i="10"/>
  <c r="A178" i="8"/>
  <c r="H178" i="8" s="1"/>
  <c r="E177" i="8"/>
  <c r="A172" i="7"/>
  <c r="C172" i="7" s="1"/>
  <c r="B215" i="1"/>
  <c r="E214" i="1"/>
  <c r="D214" i="1"/>
  <c r="K168" i="4"/>
  <c r="C208" i="1" s="1"/>
  <c r="G99" i="1" l="1"/>
  <c r="O99" i="1" s="1"/>
  <c r="K215" i="1"/>
  <c r="N215" i="1"/>
  <c r="D91" i="8"/>
  <c r="C91" i="8" s="1"/>
  <c r="F91" i="8"/>
  <c r="I91" i="8" s="1"/>
  <c r="J91" i="8" s="1"/>
  <c r="C96" i="10"/>
  <c r="B183" i="10"/>
  <c r="A179" i="8"/>
  <c r="H179" i="8" s="1"/>
  <c r="E178" i="8"/>
  <c r="A173" i="7"/>
  <c r="C173" i="7" s="1"/>
  <c r="B216" i="1"/>
  <c r="E215" i="1"/>
  <c r="D215" i="1"/>
  <c r="K169" i="4"/>
  <c r="C209" i="1" s="1"/>
  <c r="P99" i="1" l="1"/>
  <c r="F100" i="1" s="1"/>
  <c r="L100" i="1" s="1"/>
  <c r="K216" i="1"/>
  <c r="N216" i="1"/>
  <c r="B92" i="8"/>
  <c r="G92" i="8" s="1"/>
  <c r="D96" i="10"/>
  <c r="E96" i="10" s="1"/>
  <c r="B184" i="10"/>
  <c r="A180" i="8"/>
  <c r="H180" i="8" s="1"/>
  <c r="E179" i="8"/>
  <c r="A174" i="7"/>
  <c r="C174" i="7" s="1"/>
  <c r="B217" i="1"/>
  <c r="D216" i="1"/>
  <c r="E216" i="1"/>
  <c r="K170" i="4"/>
  <c r="C210" i="1" s="1"/>
  <c r="B59" i="7" l="1"/>
  <c r="J100" i="1"/>
  <c r="H100" i="1"/>
  <c r="I100" i="1" s="1"/>
  <c r="Q100" i="1"/>
  <c r="K217" i="1"/>
  <c r="N217" i="1"/>
  <c r="F92" i="8"/>
  <c r="I92" i="8" s="1"/>
  <c r="J92" i="8" s="1"/>
  <c r="D92" i="8"/>
  <c r="C92" i="8" s="1"/>
  <c r="C97" i="10"/>
  <c r="D59" i="7"/>
  <c r="E59" i="7"/>
  <c r="G100" i="1" s="1"/>
  <c r="O100" i="1" s="1"/>
  <c r="B185" i="10"/>
  <c r="A181" i="8"/>
  <c r="H181" i="8" s="1"/>
  <c r="E180" i="8"/>
  <c r="A175" i="7"/>
  <c r="C175" i="7" s="1"/>
  <c r="B218" i="1"/>
  <c r="E217" i="1"/>
  <c r="D217" i="1"/>
  <c r="K171" i="4"/>
  <c r="C211" i="1" s="1"/>
  <c r="K218" i="1" l="1"/>
  <c r="N218" i="1"/>
  <c r="B93" i="8"/>
  <c r="G93" i="8" s="1"/>
  <c r="D97" i="10"/>
  <c r="E97" i="10" s="1"/>
  <c r="B186" i="10"/>
  <c r="A182" i="8"/>
  <c r="H182" i="8" s="1"/>
  <c r="E181" i="8"/>
  <c r="A176" i="7"/>
  <c r="C176" i="7" s="1"/>
  <c r="P100" i="1"/>
  <c r="F101" i="1" s="1"/>
  <c r="L101" i="1" s="1"/>
  <c r="B219" i="1"/>
  <c r="D218" i="1"/>
  <c r="E218" i="1"/>
  <c r="K172" i="4"/>
  <c r="C212" i="1" s="1"/>
  <c r="K219" i="1" l="1"/>
  <c r="N219" i="1"/>
  <c r="D93" i="8"/>
  <c r="C93" i="8" s="1"/>
  <c r="C98" i="10"/>
  <c r="F93" i="8"/>
  <c r="I93" i="8" s="1"/>
  <c r="J93" i="8" s="1"/>
  <c r="B187" i="10"/>
  <c r="A183" i="8"/>
  <c r="H183" i="8" s="1"/>
  <c r="E182" i="8"/>
  <c r="J101" i="1"/>
  <c r="H101" i="1"/>
  <c r="I101" i="1" s="1"/>
  <c r="Q101" i="1"/>
  <c r="B60" i="7"/>
  <c r="A177" i="7"/>
  <c r="C177" i="7" s="1"/>
  <c r="B220" i="1"/>
  <c r="D219" i="1"/>
  <c r="E219" i="1"/>
  <c r="K173" i="4"/>
  <c r="C213" i="1" s="1"/>
  <c r="K220" i="1" l="1"/>
  <c r="N220" i="1"/>
  <c r="B94" i="8"/>
  <c r="G94" i="8" s="1"/>
  <c r="D98" i="10"/>
  <c r="E98" i="10" s="1"/>
  <c r="E60" i="7"/>
  <c r="D60" i="7"/>
  <c r="B188" i="10"/>
  <c r="A184" i="8"/>
  <c r="H184" i="8" s="1"/>
  <c r="E183" i="8"/>
  <c r="A178" i="7"/>
  <c r="C178" i="7" s="1"/>
  <c r="B221" i="1"/>
  <c r="E220" i="1"/>
  <c r="D220" i="1"/>
  <c r="K174" i="4"/>
  <c r="C214" i="1" s="1"/>
  <c r="K221" i="1" l="1"/>
  <c r="N221" i="1"/>
  <c r="G101" i="1"/>
  <c r="O101" i="1" s="1"/>
  <c r="F94" i="8"/>
  <c r="I94" i="8" s="1"/>
  <c r="J94" i="8" s="1"/>
  <c r="C99" i="10"/>
  <c r="D94" i="8"/>
  <c r="C94" i="8" s="1"/>
  <c r="B189" i="10"/>
  <c r="A185" i="8"/>
  <c r="H185" i="8" s="1"/>
  <c r="E184" i="8"/>
  <c r="A179" i="7"/>
  <c r="C179" i="7" s="1"/>
  <c r="B222" i="1"/>
  <c r="E221" i="1"/>
  <c r="D221" i="1"/>
  <c r="K175" i="4"/>
  <c r="C215" i="1" s="1"/>
  <c r="K222" i="1" l="1"/>
  <c r="N222" i="1"/>
  <c r="P101" i="1"/>
  <c r="F102" i="1" s="1"/>
  <c r="D99" i="10"/>
  <c r="E99" i="10" s="1"/>
  <c r="B95" i="8"/>
  <c r="G95" i="8" s="1"/>
  <c r="B190" i="10"/>
  <c r="A186" i="8"/>
  <c r="H186" i="8" s="1"/>
  <c r="E185" i="8"/>
  <c r="A180" i="7"/>
  <c r="C180" i="7" s="1"/>
  <c r="B223" i="1"/>
  <c r="D222" i="1"/>
  <c r="E222" i="1"/>
  <c r="K176" i="4"/>
  <c r="C216" i="1" s="1"/>
  <c r="J102" i="1" l="1"/>
  <c r="L102" i="1"/>
  <c r="K223" i="1"/>
  <c r="B61" i="7"/>
  <c r="E61" i="7" s="1"/>
  <c r="H102" i="1"/>
  <c r="I102" i="1" s="1"/>
  <c r="Q102" i="1"/>
  <c r="N223" i="1"/>
  <c r="F95" i="8"/>
  <c r="I95" i="8" s="1"/>
  <c r="J95" i="8" s="1"/>
  <c r="D95" i="8"/>
  <c r="C95" i="8" s="1"/>
  <c r="C100" i="10"/>
  <c r="B191" i="10"/>
  <c r="A187" i="8"/>
  <c r="H187" i="8" s="1"/>
  <c r="E186" i="8"/>
  <c r="A181" i="7"/>
  <c r="C181" i="7" s="1"/>
  <c r="B224" i="1"/>
  <c r="D223" i="1"/>
  <c r="E223" i="1"/>
  <c r="K177" i="4"/>
  <c r="C217" i="1" s="1"/>
  <c r="D61" i="7" l="1"/>
  <c r="G102" i="1" s="1"/>
  <c r="K224" i="1"/>
  <c r="N224" i="1"/>
  <c r="B96" i="8"/>
  <c r="G96" i="8" s="1"/>
  <c r="D100" i="10"/>
  <c r="E100" i="10" s="1"/>
  <c r="B192" i="10"/>
  <c r="A188" i="8"/>
  <c r="H188" i="8" s="1"/>
  <c r="E187" i="8"/>
  <c r="A182" i="7"/>
  <c r="C182" i="7" s="1"/>
  <c r="B225" i="1"/>
  <c r="D224" i="1"/>
  <c r="E224" i="1"/>
  <c r="K178" i="4"/>
  <c r="C218" i="1" s="1"/>
  <c r="K225" i="1" l="1"/>
  <c r="P102" i="1"/>
  <c r="F103" i="1" s="1"/>
  <c r="L103" i="1" s="1"/>
  <c r="O102" i="1"/>
  <c r="N225" i="1"/>
  <c r="C101" i="10"/>
  <c r="D96" i="8"/>
  <c r="C96" i="8" s="1"/>
  <c r="F96" i="8"/>
  <c r="I96" i="8" s="1"/>
  <c r="J96" i="8" s="1"/>
  <c r="B193" i="10"/>
  <c r="A189" i="8"/>
  <c r="H189" i="8" s="1"/>
  <c r="E188" i="8"/>
  <c r="B62" i="7"/>
  <c r="A183" i="7"/>
  <c r="C183" i="7" s="1"/>
  <c r="B226" i="1"/>
  <c r="E225" i="1"/>
  <c r="D225" i="1"/>
  <c r="K179" i="4"/>
  <c r="C219" i="1" s="1"/>
  <c r="Q103" i="1" l="1"/>
  <c r="J103" i="1"/>
  <c r="H103" i="1"/>
  <c r="I103" i="1" s="1"/>
  <c r="K226" i="1"/>
  <c r="N226" i="1"/>
  <c r="D101" i="10"/>
  <c r="E101" i="10" s="1"/>
  <c r="B97" i="8"/>
  <c r="G97" i="8" s="1"/>
  <c r="E62" i="7"/>
  <c r="D62" i="7"/>
  <c r="B194" i="10"/>
  <c r="A190" i="8"/>
  <c r="H190" i="8" s="1"/>
  <c r="E189" i="8"/>
  <c r="A184" i="7"/>
  <c r="C184" i="7" s="1"/>
  <c r="B227" i="1"/>
  <c r="D226" i="1"/>
  <c r="E226" i="1"/>
  <c r="K180" i="4"/>
  <c r="C220" i="1" s="1"/>
  <c r="K227" i="1" l="1"/>
  <c r="N227" i="1"/>
  <c r="C102" i="10"/>
  <c r="D97" i="8"/>
  <c r="C97" i="8" s="1"/>
  <c r="F97" i="8"/>
  <c r="I97" i="8" s="1"/>
  <c r="J97" i="8" s="1"/>
  <c r="B195" i="10"/>
  <c r="A191" i="8"/>
  <c r="H191" i="8" s="1"/>
  <c r="E190" i="8"/>
  <c r="G103" i="1"/>
  <c r="O103" i="1" s="1"/>
  <c r="A185" i="7"/>
  <c r="C185" i="7" s="1"/>
  <c r="B228" i="1"/>
  <c r="D227" i="1"/>
  <c r="E227" i="1"/>
  <c r="K181" i="4"/>
  <c r="C221" i="1" s="1"/>
  <c r="K228" i="1" l="1"/>
  <c r="N228" i="1"/>
  <c r="B98" i="8"/>
  <c r="G98" i="8" s="1"/>
  <c r="D102" i="10"/>
  <c r="E102" i="10" s="1"/>
  <c r="B196" i="10"/>
  <c r="A192" i="8"/>
  <c r="H192" i="8" s="1"/>
  <c r="E191" i="8"/>
  <c r="P103" i="1"/>
  <c r="F104" i="1" s="1"/>
  <c r="A186" i="7"/>
  <c r="C186" i="7" s="1"/>
  <c r="B229" i="1"/>
  <c r="D228" i="1"/>
  <c r="E228" i="1"/>
  <c r="K182" i="4"/>
  <c r="C222" i="1" s="1"/>
  <c r="K229" i="1" l="1"/>
  <c r="B63" i="7"/>
  <c r="E63" i="7" s="1"/>
  <c r="L104" i="1"/>
  <c r="N229" i="1"/>
  <c r="F98" i="8"/>
  <c r="I98" i="8" s="1"/>
  <c r="J98" i="8" s="1"/>
  <c r="D98" i="8"/>
  <c r="C98" i="8" s="1"/>
  <c r="C103" i="10"/>
  <c r="H104" i="1"/>
  <c r="I104" i="1" s="1"/>
  <c r="B197" i="10"/>
  <c r="A193" i="8"/>
  <c r="H193" i="8" s="1"/>
  <c r="E192" i="8"/>
  <c r="Q104" i="1"/>
  <c r="J104" i="1"/>
  <c r="A187" i="7"/>
  <c r="C187" i="7" s="1"/>
  <c r="B230" i="1"/>
  <c r="E229" i="1"/>
  <c r="D229" i="1"/>
  <c r="K183" i="4"/>
  <c r="C223" i="1" s="1"/>
  <c r="D63" i="7" l="1"/>
  <c r="K230" i="1"/>
  <c r="N230" i="1"/>
  <c r="D103" i="10"/>
  <c r="E103" i="10" s="1"/>
  <c r="B99" i="8"/>
  <c r="G99" i="8" s="1"/>
  <c r="B198" i="10"/>
  <c r="A194" i="8"/>
  <c r="H194" i="8" s="1"/>
  <c r="E193" i="8"/>
  <c r="G104" i="1"/>
  <c r="A188" i="7"/>
  <c r="C188" i="7" s="1"/>
  <c r="B231" i="1"/>
  <c r="D230" i="1"/>
  <c r="E230" i="1"/>
  <c r="K184" i="4"/>
  <c r="C224" i="1" s="1"/>
  <c r="K231" i="1" l="1"/>
  <c r="P104" i="1"/>
  <c r="F105" i="1" s="1"/>
  <c r="L105" i="1" s="1"/>
  <c r="O104" i="1"/>
  <c r="N231" i="1"/>
  <c r="D99" i="8"/>
  <c r="C99" i="8" s="1"/>
  <c r="F99" i="8"/>
  <c r="I99" i="8" s="1"/>
  <c r="J99" i="8" s="1"/>
  <c r="C104" i="10"/>
  <c r="B199" i="10"/>
  <c r="A195" i="8"/>
  <c r="H195" i="8" s="1"/>
  <c r="E194" i="8"/>
  <c r="A189" i="7"/>
  <c r="C189" i="7" s="1"/>
  <c r="B232" i="1"/>
  <c r="E231" i="1"/>
  <c r="D231" i="1"/>
  <c r="K185" i="4"/>
  <c r="C225" i="1" s="1"/>
  <c r="B64" i="7" l="1"/>
  <c r="H105" i="1"/>
  <c r="I105" i="1" s="1"/>
  <c r="J105" i="1"/>
  <c r="Q105" i="1"/>
  <c r="K232" i="1"/>
  <c r="N232" i="1"/>
  <c r="D104" i="10"/>
  <c r="E104" i="10" s="1"/>
  <c r="B100" i="8"/>
  <c r="G100" i="8" s="1"/>
  <c r="E64" i="7"/>
  <c r="D64" i="7"/>
  <c r="B200" i="10"/>
  <c r="A196" i="8"/>
  <c r="H196" i="8" s="1"/>
  <c r="E195" i="8"/>
  <c r="A190" i="7"/>
  <c r="C190" i="7" s="1"/>
  <c r="B233" i="1"/>
  <c r="D232" i="1"/>
  <c r="E232" i="1"/>
  <c r="K186" i="4"/>
  <c r="C226" i="1" s="1"/>
  <c r="G105" i="1" l="1"/>
  <c r="O105" i="1" s="1"/>
  <c r="K233" i="1"/>
  <c r="N233" i="1"/>
  <c r="C105" i="10"/>
  <c r="F100" i="8"/>
  <c r="I100" i="8" s="1"/>
  <c r="J100" i="8" s="1"/>
  <c r="D100" i="8"/>
  <c r="C100" i="8" s="1"/>
  <c r="B201" i="10"/>
  <c r="A197" i="8"/>
  <c r="H197" i="8" s="1"/>
  <c r="E196" i="8"/>
  <c r="A191" i="7"/>
  <c r="C191" i="7" s="1"/>
  <c r="D233" i="1"/>
  <c r="B234" i="1"/>
  <c r="E233" i="1"/>
  <c r="K187" i="4"/>
  <c r="C227" i="1" s="1"/>
  <c r="P105" i="1" l="1"/>
  <c r="F106" i="1" s="1"/>
  <c r="L106" i="1" s="1"/>
  <c r="K234" i="1"/>
  <c r="N234" i="1"/>
  <c r="B101" i="8"/>
  <c r="G101" i="8" s="1"/>
  <c r="D105" i="10"/>
  <c r="E105" i="10" s="1"/>
  <c r="B202" i="10"/>
  <c r="A198" i="8"/>
  <c r="H198" i="8" s="1"/>
  <c r="E197" i="8"/>
  <c r="A192" i="7"/>
  <c r="C192" i="7" s="1"/>
  <c r="J106" i="1"/>
  <c r="B65" i="7"/>
  <c r="H106" i="1"/>
  <c r="I106" i="1" s="1"/>
  <c r="Q106" i="1"/>
  <c r="B235" i="1"/>
  <c r="E234" i="1"/>
  <c r="D234" i="1"/>
  <c r="K188" i="4"/>
  <c r="C228" i="1" s="1"/>
  <c r="K235" i="1" l="1"/>
  <c r="N235" i="1"/>
  <c r="C106" i="10"/>
  <c r="F101" i="8"/>
  <c r="I101" i="8" s="1"/>
  <c r="J101" i="8" s="1"/>
  <c r="D101" i="8"/>
  <c r="C101" i="8" s="1"/>
  <c r="E65" i="7"/>
  <c r="G106" i="1" s="1"/>
  <c r="O106" i="1" s="1"/>
  <c r="D65" i="7"/>
  <c r="B203" i="10"/>
  <c r="A199" i="8"/>
  <c r="H199" i="8" s="1"/>
  <c r="E198" i="8"/>
  <c r="A193" i="7"/>
  <c r="C193" i="7" s="1"/>
  <c r="B236" i="1"/>
  <c r="E235" i="1"/>
  <c r="D235" i="1"/>
  <c r="K189" i="4"/>
  <c r="C229" i="1" s="1"/>
  <c r="K236" i="1" l="1"/>
  <c r="N236" i="1"/>
  <c r="B102" i="8"/>
  <c r="G102" i="8" s="1"/>
  <c r="D106" i="10"/>
  <c r="E106" i="10" s="1"/>
  <c r="B204" i="10"/>
  <c r="A200" i="8"/>
  <c r="H200" i="8" s="1"/>
  <c r="E199" i="8"/>
  <c r="A194" i="7"/>
  <c r="C194" i="7" s="1"/>
  <c r="P106" i="1"/>
  <c r="F107" i="1" s="1"/>
  <c r="L107" i="1" s="1"/>
  <c r="B237" i="1"/>
  <c r="E236" i="1"/>
  <c r="D236" i="1"/>
  <c r="K190" i="4"/>
  <c r="C230" i="1" s="1"/>
  <c r="K237" i="1" l="1"/>
  <c r="N237" i="1"/>
  <c r="F102" i="8"/>
  <c r="I102" i="8" s="1"/>
  <c r="J102" i="8" s="1"/>
  <c r="D102" i="8"/>
  <c r="C102" i="8" s="1"/>
  <c r="C107" i="10"/>
  <c r="B205" i="10"/>
  <c r="A201" i="8"/>
  <c r="H201" i="8" s="1"/>
  <c r="E200" i="8"/>
  <c r="H107" i="1"/>
  <c r="I107" i="1" s="1"/>
  <c r="J107" i="1"/>
  <c r="B66" i="7"/>
  <c r="Q107" i="1"/>
  <c r="A195" i="7"/>
  <c r="C195" i="7" s="1"/>
  <c r="E237" i="1"/>
  <c r="B238" i="1"/>
  <c r="D237" i="1"/>
  <c r="K191" i="4"/>
  <c r="C231" i="1" s="1"/>
  <c r="K238" i="1" l="1"/>
  <c r="N238" i="1"/>
  <c r="B103" i="8"/>
  <c r="G103" i="8" s="1"/>
  <c r="D107" i="10"/>
  <c r="E107" i="10" s="1"/>
  <c r="E66" i="7"/>
  <c r="D66" i="7"/>
  <c r="B206" i="10"/>
  <c r="A202" i="8"/>
  <c r="H202" i="8" s="1"/>
  <c r="E201" i="8"/>
  <c r="A196" i="7"/>
  <c r="C196" i="7" s="1"/>
  <c r="B239" i="1"/>
  <c r="E238" i="1"/>
  <c r="D238" i="1"/>
  <c r="K192" i="4"/>
  <c r="C232" i="1" s="1"/>
  <c r="K239" i="1" l="1"/>
  <c r="N239" i="1"/>
  <c r="G107" i="1"/>
  <c r="F103" i="8"/>
  <c r="I103" i="8" s="1"/>
  <c r="J103" i="8" s="1"/>
  <c r="C108" i="10"/>
  <c r="D103" i="8"/>
  <c r="C103" i="8" s="1"/>
  <c r="B207" i="10"/>
  <c r="A203" i="8"/>
  <c r="H203" i="8" s="1"/>
  <c r="E202" i="8"/>
  <c r="A197" i="7"/>
  <c r="C197" i="7" s="1"/>
  <c r="B240" i="1"/>
  <c r="E239" i="1"/>
  <c r="D239" i="1"/>
  <c r="K193" i="4"/>
  <c r="C233" i="1" s="1"/>
  <c r="P107" i="1" l="1"/>
  <c r="F108" i="1" s="1"/>
  <c r="L108" i="1" s="1"/>
  <c r="O107" i="1"/>
  <c r="K240" i="1"/>
  <c r="N240" i="1"/>
  <c r="B104" i="8"/>
  <c r="G104" i="8" s="1"/>
  <c r="D108" i="10"/>
  <c r="E108" i="10" s="1"/>
  <c r="B208" i="10"/>
  <c r="A204" i="8"/>
  <c r="H204" i="8" s="1"/>
  <c r="E203" i="8"/>
  <c r="A198" i="7"/>
  <c r="C198" i="7" s="1"/>
  <c r="H108" i="1"/>
  <c r="I108" i="1" s="1"/>
  <c r="B67" i="7"/>
  <c r="J108" i="1"/>
  <c r="D240" i="1"/>
  <c r="E240" i="1"/>
  <c r="B241" i="1"/>
  <c r="K194" i="4"/>
  <c r="C234" i="1" s="1"/>
  <c r="Q108" i="1" l="1"/>
  <c r="K241" i="1"/>
  <c r="N241" i="1"/>
  <c r="D104" i="8"/>
  <c r="C104" i="8" s="1"/>
  <c r="F104" i="8"/>
  <c r="I104" i="8" s="1"/>
  <c r="J104" i="8" s="1"/>
  <c r="C109" i="10"/>
  <c r="D67" i="7"/>
  <c r="E67" i="7"/>
  <c r="B209" i="10"/>
  <c r="A205" i="8"/>
  <c r="H205" i="8" s="1"/>
  <c r="E204" i="8"/>
  <c r="A199" i="7"/>
  <c r="C199" i="7" s="1"/>
  <c r="D241" i="1"/>
  <c r="E241" i="1"/>
  <c r="B242" i="1"/>
  <c r="K195" i="4"/>
  <c r="C235" i="1" s="1"/>
  <c r="K242" i="1" l="1"/>
  <c r="N242" i="1"/>
  <c r="B105" i="8"/>
  <c r="G105" i="8" s="1"/>
  <c r="D109" i="10"/>
  <c r="E109" i="10" s="1"/>
  <c r="B210" i="10"/>
  <c r="A206" i="8"/>
  <c r="H206" i="8" s="1"/>
  <c r="E205" i="8"/>
  <c r="G108" i="1"/>
  <c r="A200" i="7"/>
  <c r="C200" i="7" s="1"/>
  <c r="D242" i="1"/>
  <c r="B243" i="1"/>
  <c r="E242" i="1"/>
  <c r="K196" i="4"/>
  <c r="C236" i="1" s="1"/>
  <c r="K243" i="1" l="1"/>
  <c r="P108" i="1"/>
  <c r="F109" i="1" s="1"/>
  <c r="L109" i="1" s="1"/>
  <c r="O108" i="1"/>
  <c r="N243" i="1"/>
  <c r="D105" i="8"/>
  <c r="C105" i="8" s="1"/>
  <c r="C110" i="10"/>
  <c r="F105" i="8"/>
  <c r="I105" i="8" s="1"/>
  <c r="J105" i="8" s="1"/>
  <c r="B211" i="10"/>
  <c r="A207" i="8"/>
  <c r="H207" i="8" s="1"/>
  <c r="E206" i="8"/>
  <c r="A201" i="7"/>
  <c r="C201" i="7" s="1"/>
  <c r="B244" i="1"/>
  <c r="D243" i="1"/>
  <c r="E243" i="1"/>
  <c r="K197" i="4"/>
  <c r="C237" i="1" s="1"/>
  <c r="B68" i="7" l="1"/>
  <c r="Q109" i="1"/>
  <c r="H109" i="1"/>
  <c r="I109" i="1" s="1"/>
  <c r="J109" i="1"/>
  <c r="K244" i="1"/>
  <c r="N244" i="1"/>
  <c r="B106" i="8"/>
  <c r="G106" i="8" s="1"/>
  <c r="D110" i="10"/>
  <c r="E110" i="10" s="1"/>
  <c r="E68" i="7"/>
  <c r="D68" i="7"/>
  <c r="B212" i="10"/>
  <c r="A208" i="8"/>
  <c r="H208" i="8" s="1"/>
  <c r="E207" i="8"/>
  <c r="A202" i="7"/>
  <c r="C202" i="7" s="1"/>
  <c r="B245" i="1"/>
  <c r="D244" i="1"/>
  <c r="E244" i="1"/>
  <c r="K198" i="4"/>
  <c r="C238" i="1" s="1"/>
  <c r="K245" i="1" l="1"/>
  <c r="N245" i="1"/>
  <c r="F106" i="8"/>
  <c r="I106" i="8" s="1"/>
  <c r="J106" i="8" s="1"/>
  <c r="D106" i="8"/>
  <c r="C106" i="8" s="1"/>
  <c r="C111" i="10"/>
  <c r="G109" i="1"/>
  <c r="B213" i="10"/>
  <c r="A209" i="8"/>
  <c r="H209" i="8" s="1"/>
  <c r="E208" i="8"/>
  <c r="A203" i="7"/>
  <c r="C203" i="7" s="1"/>
  <c r="B246" i="1"/>
  <c r="E245" i="1"/>
  <c r="D245" i="1"/>
  <c r="K199" i="4"/>
  <c r="C239" i="1" s="1"/>
  <c r="K246" i="1" l="1"/>
  <c r="P109" i="1"/>
  <c r="F110" i="1" s="1"/>
  <c r="L110" i="1" s="1"/>
  <c r="O109" i="1"/>
  <c r="N246" i="1"/>
  <c r="D111" i="10"/>
  <c r="E111" i="10" s="1"/>
  <c r="B107" i="8"/>
  <c r="G107" i="8" s="1"/>
  <c r="B214" i="10"/>
  <c r="A210" i="8"/>
  <c r="H210" i="8" s="1"/>
  <c r="E209" i="8"/>
  <c r="A204" i="7"/>
  <c r="C204" i="7" s="1"/>
  <c r="D246" i="1"/>
  <c r="B247" i="1"/>
  <c r="E246" i="1"/>
  <c r="K200" i="4"/>
  <c r="C240" i="1" s="1"/>
  <c r="B69" i="7" l="1"/>
  <c r="H110" i="1"/>
  <c r="I110" i="1" s="1"/>
  <c r="J110" i="1"/>
  <c r="Q110" i="1"/>
  <c r="K247" i="1"/>
  <c r="N247" i="1"/>
  <c r="F107" i="8"/>
  <c r="I107" i="8" s="1"/>
  <c r="J107" i="8" s="1"/>
  <c r="D107" i="8"/>
  <c r="C107" i="8" s="1"/>
  <c r="C112" i="10"/>
  <c r="D69" i="7"/>
  <c r="E69" i="7"/>
  <c r="B215" i="10"/>
  <c r="A211" i="8"/>
  <c r="H211" i="8" s="1"/>
  <c r="E210" i="8"/>
  <c r="A205" i="7"/>
  <c r="C205" i="7" s="1"/>
  <c r="B248" i="1"/>
  <c r="D247" i="1"/>
  <c r="E247" i="1"/>
  <c r="K201" i="4"/>
  <c r="C241" i="1" s="1"/>
  <c r="G110" i="1" l="1"/>
  <c r="O110" i="1" s="1"/>
  <c r="K248" i="1"/>
  <c r="N248" i="1"/>
  <c r="B108" i="8"/>
  <c r="G108" i="8" s="1"/>
  <c r="D112" i="10"/>
  <c r="E112" i="10" s="1"/>
  <c r="B216" i="10"/>
  <c r="A212" i="8"/>
  <c r="H212" i="8" s="1"/>
  <c r="E211" i="8"/>
  <c r="A206" i="7"/>
  <c r="C206" i="7" s="1"/>
  <c r="D248" i="1"/>
  <c r="E248" i="1"/>
  <c r="B249" i="1"/>
  <c r="K202" i="4"/>
  <c r="C242" i="1" s="1"/>
  <c r="P110" i="1" l="1"/>
  <c r="F111" i="1" s="1"/>
  <c r="L111" i="1" s="1"/>
  <c r="K249" i="1"/>
  <c r="N249" i="1"/>
  <c r="C113" i="10"/>
  <c r="D108" i="8"/>
  <c r="C108" i="8" s="1"/>
  <c r="F108" i="8"/>
  <c r="I108" i="8" s="1"/>
  <c r="J108" i="8" s="1"/>
  <c r="B217" i="10"/>
  <c r="A213" i="8"/>
  <c r="H213" i="8" s="1"/>
  <c r="E212" i="8"/>
  <c r="H111" i="1"/>
  <c r="I111" i="1" s="1"/>
  <c r="Q111" i="1"/>
  <c r="B70" i="7"/>
  <c r="J111" i="1"/>
  <c r="A207" i="7"/>
  <c r="C207" i="7" s="1"/>
  <c r="B250" i="1"/>
  <c r="E249" i="1"/>
  <c r="D249" i="1"/>
  <c r="K203" i="4"/>
  <c r="C243" i="1" s="1"/>
  <c r="K250" i="1" l="1"/>
  <c r="N250" i="1"/>
  <c r="B109" i="8"/>
  <c r="G109" i="8" s="1"/>
  <c r="D113" i="10"/>
  <c r="E113" i="10" s="1"/>
  <c r="E70" i="7"/>
  <c r="G111" i="1" s="1"/>
  <c r="O111" i="1" s="1"/>
  <c r="D70" i="7"/>
  <c r="B218" i="10"/>
  <c r="A214" i="8"/>
  <c r="H214" i="8" s="1"/>
  <c r="E213" i="8"/>
  <c r="A208" i="7"/>
  <c r="C208" i="7" s="1"/>
  <c r="B251" i="1"/>
  <c r="D250" i="1"/>
  <c r="E250" i="1"/>
  <c r="K204" i="4"/>
  <c r="C244" i="1" s="1"/>
  <c r="K251" i="1" l="1"/>
  <c r="N251" i="1"/>
  <c r="D109" i="8"/>
  <c r="C109" i="8" s="1"/>
  <c r="F109" i="8"/>
  <c r="I109" i="8" s="1"/>
  <c r="J109" i="8" s="1"/>
  <c r="C114" i="10"/>
  <c r="B219" i="10"/>
  <c r="A215" i="8"/>
  <c r="H215" i="8" s="1"/>
  <c r="E214" i="8"/>
  <c r="A209" i="7"/>
  <c r="C209" i="7" s="1"/>
  <c r="P111" i="1"/>
  <c r="F112" i="1" s="1"/>
  <c r="L112" i="1" s="1"/>
  <c r="B252" i="1"/>
  <c r="D251" i="1"/>
  <c r="E251" i="1"/>
  <c r="K205" i="4"/>
  <c r="C245" i="1" s="1"/>
  <c r="K252" i="1" l="1"/>
  <c r="N252" i="1"/>
  <c r="B110" i="8"/>
  <c r="G110" i="8" s="1"/>
  <c r="D114" i="10"/>
  <c r="E114" i="10" s="1"/>
  <c r="B220" i="10"/>
  <c r="A216" i="8"/>
  <c r="H216" i="8" s="1"/>
  <c r="E215" i="8"/>
  <c r="J112" i="1"/>
  <c r="H112" i="1"/>
  <c r="I112" i="1" s="1"/>
  <c r="B71" i="7"/>
  <c r="Q112" i="1"/>
  <c r="A210" i="7"/>
  <c r="C210" i="7" s="1"/>
  <c r="B253" i="1"/>
  <c r="E252" i="1"/>
  <c r="D252" i="1"/>
  <c r="K206" i="4"/>
  <c r="C246" i="1" s="1"/>
  <c r="K253" i="1" l="1"/>
  <c r="N253" i="1"/>
  <c r="D110" i="8"/>
  <c r="C110" i="8" s="1"/>
  <c r="F110" i="8"/>
  <c r="I110" i="8" s="1"/>
  <c r="J110" i="8" s="1"/>
  <c r="C115" i="10"/>
  <c r="E71" i="7"/>
  <c r="D71" i="7"/>
  <c r="B221" i="10"/>
  <c r="A217" i="8"/>
  <c r="H217" i="8" s="1"/>
  <c r="E216" i="8"/>
  <c r="A211" i="7"/>
  <c r="C211" i="7" s="1"/>
  <c r="E253" i="1"/>
  <c r="D253" i="1"/>
  <c r="B254" i="1"/>
  <c r="K207" i="4"/>
  <c r="C247" i="1" s="1"/>
  <c r="K254" i="1" l="1"/>
  <c r="N254" i="1"/>
  <c r="B111" i="8"/>
  <c r="G111" i="8" s="1"/>
  <c r="D115" i="10"/>
  <c r="E115" i="10" s="1"/>
  <c r="B222" i="10"/>
  <c r="A218" i="8"/>
  <c r="H218" i="8" s="1"/>
  <c r="E217" i="8"/>
  <c r="G112" i="1"/>
  <c r="O112" i="1" s="1"/>
  <c r="A212" i="7"/>
  <c r="C212" i="7" s="1"/>
  <c r="B255" i="1"/>
  <c r="D254" i="1"/>
  <c r="E254" i="1"/>
  <c r="K208" i="4"/>
  <c r="C248" i="1" s="1"/>
  <c r="K255" i="1" l="1"/>
  <c r="N255" i="1"/>
  <c r="C116" i="10"/>
  <c r="F111" i="8"/>
  <c r="I111" i="8" s="1"/>
  <c r="J111" i="8" s="1"/>
  <c r="D111" i="8"/>
  <c r="C111" i="8" s="1"/>
  <c r="B223" i="10"/>
  <c r="A219" i="8"/>
  <c r="H219" i="8" s="1"/>
  <c r="E218" i="8"/>
  <c r="P112" i="1"/>
  <c r="F113" i="1" s="1"/>
  <c r="L113" i="1" s="1"/>
  <c r="A213" i="7"/>
  <c r="C213" i="7" s="1"/>
  <c r="B256" i="1"/>
  <c r="D255" i="1"/>
  <c r="E255" i="1"/>
  <c r="K209" i="4"/>
  <c r="C249" i="1" s="1"/>
  <c r="K256" i="1" l="1"/>
  <c r="N256" i="1"/>
  <c r="D116" i="10"/>
  <c r="E116" i="10" s="1"/>
  <c r="B112" i="8"/>
  <c r="G112" i="8" s="1"/>
  <c r="H113" i="1"/>
  <c r="I113" i="1" s="1"/>
  <c r="B72" i="7"/>
  <c r="Q113" i="1"/>
  <c r="B224" i="10"/>
  <c r="A220" i="8"/>
  <c r="H220" i="8" s="1"/>
  <c r="E219" i="8"/>
  <c r="J113" i="1"/>
  <c r="A214" i="7"/>
  <c r="C214" i="7" s="1"/>
  <c r="D256" i="1"/>
  <c r="B257" i="1"/>
  <c r="E256" i="1"/>
  <c r="K210" i="4"/>
  <c r="C250" i="1" s="1"/>
  <c r="K257" i="1" l="1"/>
  <c r="N257" i="1"/>
  <c r="D112" i="8"/>
  <c r="C112" i="8" s="1"/>
  <c r="F112" i="8"/>
  <c r="I112" i="8" s="1"/>
  <c r="J112" i="8" s="1"/>
  <c r="C117" i="10"/>
  <c r="E72" i="7"/>
  <c r="D72" i="7"/>
  <c r="B225" i="10"/>
  <c r="A221" i="8"/>
  <c r="H221" i="8" s="1"/>
  <c r="E220" i="8"/>
  <c r="A215" i="7"/>
  <c r="C215" i="7" s="1"/>
  <c r="E257" i="1"/>
  <c r="B258" i="1"/>
  <c r="D257" i="1"/>
  <c r="K211" i="4"/>
  <c r="C251" i="1" s="1"/>
  <c r="G113" i="1" l="1"/>
  <c r="O113" i="1" s="1"/>
  <c r="K258" i="1"/>
  <c r="N258" i="1"/>
  <c r="B113" i="8"/>
  <c r="G113" i="8" s="1"/>
  <c r="D117" i="10"/>
  <c r="E117" i="10" s="1"/>
  <c r="B226" i="10"/>
  <c r="A222" i="8"/>
  <c r="H222" i="8" s="1"/>
  <c r="E221" i="8"/>
  <c r="A216" i="7"/>
  <c r="C216" i="7" s="1"/>
  <c r="B259" i="1"/>
  <c r="E258" i="1"/>
  <c r="D258" i="1"/>
  <c r="K212" i="4"/>
  <c r="C252" i="1" s="1"/>
  <c r="P113" i="1" l="1"/>
  <c r="F114" i="1" s="1"/>
  <c r="Q114" i="1" s="1"/>
  <c r="K259" i="1"/>
  <c r="B73" i="7"/>
  <c r="E73" i="7" s="1"/>
  <c r="N259" i="1"/>
  <c r="H114" i="1"/>
  <c r="I114" i="1" s="1"/>
  <c r="J114" i="1"/>
  <c r="C118" i="10"/>
  <c r="F113" i="8"/>
  <c r="I113" i="8" s="1"/>
  <c r="J113" i="8" s="1"/>
  <c r="D113" i="8"/>
  <c r="C113" i="8" s="1"/>
  <c r="B227" i="10"/>
  <c r="A223" i="8"/>
  <c r="H223" i="8" s="1"/>
  <c r="E222" i="8"/>
  <c r="A217" i="7"/>
  <c r="C217" i="7" s="1"/>
  <c r="B260" i="1"/>
  <c r="D259" i="1"/>
  <c r="E259" i="1"/>
  <c r="K213" i="4"/>
  <c r="C253" i="1" s="1"/>
  <c r="L114" i="1" l="1"/>
  <c r="D73" i="7"/>
  <c r="G114" i="1" s="1"/>
  <c r="K260" i="1"/>
  <c r="N260" i="1"/>
  <c r="D118" i="10"/>
  <c r="E118" i="10" s="1"/>
  <c r="B114" i="8"/>
  <c r="G114" i="8" s="1"/>
  <c r="B228" i="10"/>
  <c r="A224" i="8"/>
  <c r="H224" i="8" s="1"/>
  <c r="E223" i="8"/>
  <c r="A218" i="7"/>
  <c r="C218" i="7" s="1"/>
  <c r="B261" i="1"/>
  <c r="E260" i="1"/>
  <c r="D260" i="1"/>
  <c r="K214" i="4"/>
  <c r="C254" i="1" s="1"/>
  <c r="O114" i="1" l="1"/>
  <c r="P114" i="1"/>
  <c r="F115" i="1" s="1"/>
  <c r="L115" i="1" s="1"/>
  <c r="K261" i="1"/>
  <c r="N261" i="1"/>
  <c r="C119" i="10"/>
  <c r="F114" i="8"/>
  <c r="I114" i="8" s="1"/>
  <c r="J114" i="8" s="1"/>
  <c r="D114" i="8"/>
  <c r="C114" i="8" s="1"/>
  <c r="B229" i="10"/>
  <c r="A225" i="8"/>
  <c r="H225" i="8" s="1"/>
  <c r="E224" i="8"/>
  <c r="A219" i="7"/>
  <c r="C219" i="7" s="1"/>
  <c r="E261" i="1"/>
  <c r="B262" i="1"/>
  <c r="D261" i="1"/>
  <c r="K215" i="4"/>
  <c r="C255" i="1" s="1"/>
  <c r="Q115" i="1" l="1"/>
  <c r="H115" i="1"/>
  <c r="I115" i="1" s="1"/>
  <c r="J115" i="1"/>
  <c r="B74" i="7"/>
  <c r="E74" i="7" s="1"/>
  <c r="K262" i="1"/>
  <c r="N262" i="1"/>
  <c r="D119" i="10"/>
  <c r="E119" i="10" s="1"/>
  <c r="B115" i="8"/>
  <c r="G115" i="8" s="1"/>
  <c r="B230" i="10"/>
  <c r="A226" i="8"/>
  <c r="H226" i="8" s="1"/>
  <c r="E225" i="8"/>
  <c r="A220" i="7"/>
  <c r="C220" i="7" s="1"/>
  <c r="B263" i="1"/>
  <c r="E262" i="1"/>
  <c r="D262" i="1"/>
  <c r="K216" i="4"/>
  <c r="C256" i="1" s="1"/>
  <c r="D74" i="7" l="1"/>
  <c r="G115" i="1" s="1"/>
  <c r="K263" i="1"/>
  <c r="N263" i="1"/>
  <c r="F115" i="8"/>
  <c r="I115" i="8" s="1"/>
  <c r="J115" i="8" s="1"/>
  <c r="D115" i="8"/>
  <c r="C115" i="8" s="1"/>
  <c r="C120" i="10"/>
  <c r="B231" i="10"/>
  <c r="A227" i="8"/>
  <c r="H227" i="8" s="1"/>
  <c r="E226" i="8"/>
  <c r="A221" i="7"/>
  <c r="C221" i="7" s="1"/>
  <c r="D263" i="1"/>
  <c r="B264" i="1"/>
  <c r="E263" i="1"/>
  <c r="K217" i="4"/>
  <c r="C257" i="1" s="1"/>
  <c r="O115" i="1" l="1"/>
  <c r="P115" i="1"/>
  <c r="F116" i="1" s="1"/>
  <c r="L116" i="1" s="1"/>
  <c r="K264" i="1"/>
  <c r="N264" i="1"/>
  <c r="B116" i="8"/>
  <c r="G116" i="8" s="1"/>
  <c r="D120" i="10"/>
  <c r="E120" i="10" s="1"/>
  <c r="B232" i="10"/>
  <c r="A228" i="8"/>
  <c r="H228" i="8" s="1"/>
  <c r="E227" i="8"/>
  <c r="A222" i="7"/>
  <c r="C222" i="7" s="1"/>
  <c r="J116" i="1"/>
  <c r="Q116" i="1"/>
  <c r="B75" i="7"/>
  <c r="B265" i="1"/>
  <c r="D264" i="1"/>
  <c r="E264" i="1"/>
  <c r="K218" i="4"/>
  <c r="C258" i="1" s="1"/>
  <c r="H116" i="1" l="1"/>
  <c r="I116" i="1" s="1"/>
  <c r="K265" i="1"/>
  <c r="N265" i="1"/>
  <c r="F116" i="8"/>
  <c r="I116" i="8" s="1"/>
  <c r="J116" i="8" s="1"/>
  <c r="C121" i="10"/>
  <c r="D116" i="8"/>
  <c r="C116" i="8" s="1"/>
  <c r="D75" i="7"/>
  <c r="E75" i="7"/>
  <c r="B233" i="10"/>
  <c r="A229" i="8"/>
  <c r="H229" i="8" s="1"/>
  <c r="E228" i="8"/>
  <c r="A223" i="7"/>
  <c r="C223" i="7" s="1"/>
  <c r="D265" i="1"/>
  <c r="B266" i="1"/>
  <c r="E265" i="1"/>
  <c r="K219" i="4"/>
  <c r="C259" i="1" s="1"/>
  <c r="K266" i="1" l="1"/>
  <c r="N266" i="1"/>
  <c r="D121" i="10"/>
  <c r="E121" i="10" s="1"/>
  <c r="B117" i="8"/>
  <c r="G117" i="8" s="1"/>
  <c r="G116" i="1"/>
  <c r="O116" i="1" s="1"/>
  <c r="B234" i="10"/>
  <c r="A230" i="8"/>
  <c r="H230" i="8" s="1"/>
  <c r="E229" i="8"/>
  <c r="A224" i="7"/>
  <c r="C224" i="7" s="1"/>
  <c r="D266" i="1"/>
  <c r="B267" i="1"/>
  <c r="E266" i="1"/>
  <c r="K220" i="4"/>
  <c r="C260" i="1" s="1"/>
  <c r="K267" i="1" l="1"/>
  <c r="N267" i="1"/>
  <c r="C122" i="10"/>
  <c r="F117" i="8"/>
  <c r="I117" i="8" s="1"/>
  <c r="J117" i="8" s="1"/>
  <c r="D117" i="8"/>
  <c r="C117" i="8" s="1"/>
  <c r="P116" i="1"/>
  <c r="F117" i="1" s="1"/>
  <c r="L117" i="1" s="1"/>
  <c r="B235" i="10"/>
  <c r="A231" i="8"/>
  <c r="H231" i="8" s="1"/>
  <c r="E230" i="8"/>
  <c r="A225" i="7"/>
  <c r="C225" i="7" s="1"/>
  <c r="D267" i="1"/>
  <c r="B268" i="1"/>
  <c r="E267" i="1"/>
  <c r="K221" i="4"/>
  <c r="C261" i="1" s="1"/>
  <c r="K268" i="1" l="1"/>
  <c r="N268" i="1"/>
  <c r="B76" i="7"/>
  <c r="E76" i="7" s="1"/>
  <c r="H117" i="1"/>
  <c r="I117" i="1" s="1"/>
  <c r="D122" i="10"/>
  <c r="E122" i="10" s="1"/>
  <c r="B118" i="8"/>
  <c r="G118" i="8" s="1"/>
  <c r="Q117" i="1"/>
  <c r="J117" i="1"/>
  <c r="B236" i="10"/>
  <c r="A232" i="8"/>
  <c r="H232" i="8" s="1"/>
  <c r="E231" i="8"/>
  <c r="A226" i="7"/>
  <c r="C226" i="7" s="1"/>
  <c r="E268" i="1"/>
  <c r="B269" i="1"/>
  <c r="D268" i="1"/>
  <c r="K222" i="4"/>
  <c r="C262" i="1" s="1"/>
  <c r="D76" i="7" l="1"/>
  <c r="K269" i="1"/>
  <c r="N269" i="1"/>
  <c r="C123" i="10"/>
  <c r="F118" i="8"/>
  <c r="I118" i="8" s="1"/>
  <c r="J118" i="8" s="1"/>
  <c r="D118" i="8"/>
  <c r="C118" i="8" s="1"/>
  <c r="G117" i="1"/>
  <c r="O117" i="1" s="1"/>
  <c r="B237" i="10"/>
  <c r="A233" i="8"/>
  <c r="H233" i="8" s="1"/>
  <c r="E232" i="8"/>
  <c r="A227" i="7"/>
  <c r="C227" i="7" s="1"/>
  <c r="B270" i="1"/>
  <c r="D269" i="1"/>
  <c r="E269" i="1"/>
  <c r="K223" i="4"/>
  <c r="C263" i="1" s="1"/>
  <c r="K270" i="1" l="1"/>
  <c r="N270" i="1"/>
  <c r="B119" i="8"/>
  <c r="G119" i="8" s="1"/>
  <c r="D123" i="10"/>
  <c r="E123" i="10" s="1"/>
  <c r="P117" i="1"/>
  <c r="F118" i="1" s="1"/>
  <c r="B238" i="10"/>
  <c r="A234" i="8"/>
  <c r="H234" i="8" s="1"/>
  <c r="E233" i="8"/>
  <c r="A228" i="7"/>
  <c r="C228" i="7" s="1"/>
  <c r="B271" i="1"/>
  <c r="E270" i="1"/>
  <c r="D270" i="1"/>
  <c r="K224" i="4"/>
  <c r="C264" i="1" s="1"/>
  <c r="J118" i="1" l="1"/>
  <c r="L118" i="1"/>
  <c r="K271" i="1"/>
  <c r="N271" i="1"/>
  <c r="B77" i="7"/>
  <c r="D77" i="7" s="1"/>
  <c r="H118" i="1"/>
  <c r="I118" i="1" s="1"/>
  <c r="C124" i="10"/>
  <c r="D119" i="8"/>
  <c r="C119" i="8" s="1"/>
  <c r="F119" i="8"/>
  <c r="I119" i="8" s="1"/>
  <c r="J119" i="8" s="1"/>
  <c r="Q118" i="1"/>
  <c r="B239" i="10"/>
  <c r="A235" i="8"/>
  <c r="H235" i="8" s="1"/>
  <c r="E234" i="8"/>
  <c r="A229" i="7"/>
  <c r="C229" i="7" s="1"/>
  <c r="B272" i="1"/>
  <c r="E271" i="1"/>
  <c r="D271" i="1"/>
  <c r="K225" i="4"/>
  <c r="C265" i="1" s="1"/>
  <c r="K272" i="1" l="1"/>
  <c r="E77" i="7"/>
  <c r="G118" i="1" s="1"/>
  <c r="O118" i="1" s="1"/>
  <c r="N272" i="1"/>
  <c r="D124" i="10"/>
  <c r="E124" i="10" s="1"/>
  <c r="B120" i="8"/>
  <c r="G120" i="8" s="1"/>
  <c r="B240" i="10"/>
  <c r="A236" i="8"/>
  <c r="H236" i="8" s="1"/>
  <c r="E235" i="8"/>
  <c r="A230" i="7"/>
  <c r="C230" i="7" s="1"/>
  <c r="D272" i="1"/>
  <c r="E272" i="1"/>
  <c r="B273" i="1"/>
  <c r="K226" i="4"/>
  <c r="C266" i="1" s="1"/>
  <c r="K273" i="1" l="1"/>
  <c r="P118" i="1"/>
  <c r="F119" i="1" s="1"/>
  <c r="N273" i="1"/>
  <c r="C125" i="10"/>
  <c r="D120" i="8"/>
  <c r="C120" i="8" s="1"/>
  <c r="F120" i="8"/>
  <c r="I120" i="8" s="1"/>
  <c r="J120" i="8" s="1"/>
  <c r="B241" i="10"/>
  <c r="A237" i="8"/>
  <c r="H237" i="8" s="1"/>
  <c r="E236" i="8"/>
  <c r="A231" i="7"/>
  <c r="C231" i="7" s="1"/>
  <c r="D273" i="1"/>
  <c r="B274" i="1"/>
  <c r="E273" i="1"/>
  <c r="K227" i="4"/>
  <c r="C267" i="1" s="1"/>
  <c r="K274" i="1" l="1"/>
  <c r="J119" i="1"/>
  <c r="L119" i="1"/>
  <c r="B78" i="7"/>
  <c r="E78" i="7" s="1"/>
  <c r="Q119" i="1"/>
  <c r="H119" i="1"/>
  <c r="I119" i="1" s="1"/>
  <c r="N274" i="1"/>
  <c r="B121" i="8"/>
  <c r="G121" i="8" s="1"/>
  <c r="D125" i="10"/>
  <c r="E125" i="10" s="1"/>
  <c r="B242" i="10"/>
  <c r="A238" i="8"/>
  <c r="H238" i="8" s="1"/>
  <c r="E237" i="8"/>
  <c r="A232" i="7"/>
  <c r="C232" i="7" s="1"/>
  <c r="D274" i="1"/>
  <c r="E274" i="1"/>
  <c r="B275" i="1"/>
  <c r="K228" i="4"/>
  <c r="C268" i="1" s="1"/>
  <c r="D78" i="7" l="1"/>
  <c r="G119" i="1" s="1"/>
  <c r="K275" i="1"/>
  <c r="N275" i="1"/>
  <c r="C126" i="10"/>
  <c r="F121" i="8"/>
  <c r="I121" i="8" s="1"/>
  <c r="J121" i="8" s="1"/>
  <c r="D121" i="8"/>
  <c r="C121" i="8" s="1"/>
  <c r="B243" i="10"/>
  <c r="A239" i="8"/>
  <c r="H239" i="8" s="1"/>
  <c r="E238" i="8"/>
  <c r="A233" i="7"/>
  <c r="C233" i="7" s="1"/>
  <c r="B276" i="1"/>
  <c r="E275" i="1"/>
  <c r="D275" i="1"/>
  <c r="K229" i="4"/>
  <c r="C269" i="1" s="1"/>
  <c r="O119" i="1" l="1"/>
  <c r="P119" i="1"/>
  <c r="F120" i="1" s="1"/>
  <c r="L120" i="1" s="1"/>
  <c r="K276" i="1"/>
  <c r="N276" i="1"/>
  <c r="B122" i="8"/>
  <c r="G122" i="8" s="1"/>
  <c r="D126" i="10"/>
  <c r="E126" i="10" s="1"/>
  <c r="B244" i="10"/>
  <c r="A240" i="8"/>
  <c r="H240" i="8" s="1"/>
  <c r="E239" i="8"/>
  <c r="A234" i="7"/>
  <c r="C234" i="7" s="1"/>
  <c r="E276" i="1"/>
  <c r="B277" i="1"/>
  <c r="D276" i="1"/>
  <c r="K230" i="4"/>
  <c r="C270" i="1" s="1"/>
  <c r="H120" i="1" l="1"/>
  <c r="I120" i="1" s="1"/>
  <c r="B79" i="7"/>
  <c r="Q120" i="1"/>
  <c r="J120" i="1"/>
  <c r="K277" i="1"/>
  <c r="N277" i="1"/>
  <c r="F122" i="8"/>
  <c r="I122" i="8" s="1"/>
  <c r="J122" i="8" s="1"/>
  <c r="D122" i="8"/>
  <c r="C122" i="8" s="1"/>
  <c r="C127" i="10"/>
  <c r="E79" i="7"/>
  <c r="G120" i="1" s="1"/>
  <c r="O120" i="1" s="1"/>
  <c r="D79" i="7"/>
  <c r="B245" i="10"/>
  <c r="A241" i="8"/>
  <c r="H241" i="8" s="1"/>
  <c r="E240" i="8"/>
  <c r="A235" i="7"/>
  <c r="C235" i="7" s="1"/>
  <c r="E277" i="1"/>
  <c r="D277" i="1"/>
  <c r="B278" i="1"/>
  <c r="K231" i="4"/>
  <c r="C271" i="1" s="1"/>
  <c r="K278" i="1" l="1"/>
  <c r="N278" i="1"/>
  <c r="D127" i="10"/>
  <c r="E127" i="10" s="1"/>
  <c r="B123" i="8"/>
  <c r="G123" i="8" s="1"/>
  <c r="B246" i="10"/>
  <c r="A242" i="8"/>
  <c r="H242" i="8" s="1"/>
  <c r="E241" i="8"/>
  <c r="A236" i="7"/>
  <c r="C236" i="7" s="1"/>
  <c r="P120" i="1"/>
  <c r="F121" i="1" s="1"/>
  <c r="L121" i="1" s="1"/>
  <c r="D278" i="1"/>
  <c r="E278" i="1"/>
  <c r="B279" i="1"/>
  <c r="K232" i="4"/>
  <c r="C272" i="1" s="1"/>
  <c r="K279" i="1" l="1"/>
  <c r="N279" i="1"/>
  <c r="C128" i="10"/>
  <c r="F123" i="8"/>
  <c r="I123" i="8" s="1"/>
  <c r="J123" i="8" s="1"/>
  <c r="D123" i="8"/>
  <c r="C123" i="8" s="1"/>
  <c r="B247" i="10"/>
  <c r="A243" i="8"/>
  <c r="H243" i="8" s="1"/>
  <c r="E242" i="8"/>
  <c r="H121" i="1"/>
  <c r="I121" i="1" s="1"/>
  <c r="B80" i="7"/>
  <c r="Q121" i="1"/>
  <c r="J121" i="1"/>
  <c r="A237" i="7"/>
  <c r="C237" i="7" s="1"/>
  <c r="B280" i="1"/>
  <c r="D279" i="1"/>
  <c r="E279" i="1"/>
  <c r="K233" i="4"/>
  <c r="C273" i="1" s="1"/>
  <c r="K280" i="1" l="1"/>
  <c r="N280" i="1"/>
  <c r="D128" i="10"/>
  <c r="E128" i="10" s="1"/>
  <c r="B124" i="8"/>
  <c r="G124" i="8" s="1"/>
  <c r="E80" i="7"/>
  <c r="D80" i="7"/>
  <c r="B248" i="10"/>
  <c r="A244" i="8"/>
  <c r="H244" i="8" s="1"/>
  <c r="E243" i="8"/>
  <c r="A238" i="7"/>
  <c r="C238" i="7" s="1"/>
  <c r="B281" i="1"/>
  <c r="E280" i="1"/>
  <c r="D280" i="1"/>
  <c r="K234" i="4"/>
  <c r="C274" i="1" s="1"/>
  <c r="K281" i="1" l="1"/>
  <c r="N281" i="1"/>
  <c r="F124" i="8"/>
  <c r="I124" i="8" s="1"/>
  <c r="J124" i="8" s="1"/>
  <c r="D124" i="8"/>
  <c r="C124" i="8" s="1"/>
  <c r="C129" i="10"/>
  <c r="B249" i="10"/>
  <c r="A245" i="8"/>
  <c r="H245" i="8" s="1"/>
  <c r="E244" i="8"/>
  <c r="G121" i="1"/>
  <c r="O121" i="1" s="1"/>
  <c r="A239" i="7"/>
  <c r="C239" i="7" s="1"/>
  <c r="E281" i="1"/>
  <c r="B282" i="1"/>
  <c r="D281" i="1"/>
  <c r="K235" i="4"/>
  <c r="C275" i="1" s="1"/>
  <c r="K282" i="1" l="1"/>
  <c r="N282" i="1"/>
  <c r="B125" i="8"/>
  <c r="G125" i="8" s="1"/>
  <c r="D129" i="10"/>
  <c r="E129" i="10" s="1"/>
  <c r="B250" i="10"/>
  <c r="A246" i="8"/>
  <c r="H246" i="8" s="1"/>
  <c r="E245" i="8"/>
  <c r="P121" i="1"/>
  <c r="F122" i="1" s="1"/>
  <c r="L122" i="1" s="1"/>
  <c r="A240" i="7"/>
  <c r="C240" i="7" s="1"/>
  <c r="D282" i="1"/>
  <c r="B283" i="1"/>
  <c r="E282" i="1"/>
  <c r="K236" i="4"/>
  <c r="C276" i="1" s="1"/>
  <c r="K283" i="1" l="1"/>
  <c r="N283" i="1"/>
  <c r="C130" i="10"/>
  <c r="F125" i="8"/>
  <c r="I125" i="8" s="1"/>
  <c r="J125" i="8" s="1"/>
  <c r="D125" i="8"/>
  <c r="C125" i="8" s="1"/>
  <c r="J122" i="1"/>
  <c r="B251" i="10"/>
  <c r="E246" i="8"/>
  <c r="Q122" i="1"/>
  <c r="B81" i="7"/>
  <c r="H122" i="1"/>
  <c r="I122" i="1" s="1"/>
  <c r="A241" i="7"/>
  <c r="C241" i="7" s="1"/>
  <c r="K285" i="1"/>
  <c r="D283" i="1"/>
  <c r="E283" i="1"/>
  <c r="K237" i="4"/>
  <c r="C277" i="1" s="1"/>
  <c r="D130" i="10" l="1"/>
  <c r="E130" i="10" s="1"/>
  <c r="B126" i="8"/>
  <c r="G126" i="8" s="1"/>
  <c r="D81" i="7"/>
  <c r="E81" i="7"/>
  <c r="G122" i="1" s="1"/>
  <c r="O122" i="1" s="1"/>
  <c r="A242" i="7"/>
  <c r="C242" i="7" s="1"/>
  <c r="K238" i="4"/>
  <c r="C278" i="1" s="1"/>
  <c r="C131" i="10" l="1"/>
  <c r="D126" i="8"/>
  <c r="C126" i="8" s="1"/>
  <c r="F126" i="8"/>
  <c r="I126" i="8" s="1"/>
  <c r="J126" i="8" s="1"/>
  <c r="P122" i="1"/>
  <c r="F123" i="1" s="1"/>
  <c r="L123" i="1" s="1"/>
  <c r="K239" i="4"/>
  <c r="C279" i="1" s="1"/>
  <c r="B127" i="8" l="1"/>
  <c r="G127" i="8" s="1"/>
  <c r="D131" i="10"/>
  <c r="E131" i="10" s="1"/>
  <c r="B82" i="7"/>
  <c r="H123" i="1"/>
  <c r="I123" i="1" s="1"/>
  <c r="Q123" i="1"/>
  <c r="J123" i="1"/>
  <c r="K240" i="4"/>
  <c r="C280" i="1" s="1"/>
  <c r="C132" i="10" l="1"/>
  <c r="D127" i="8"/>
  <c r="C127" i="8" s="1"/>
  <c r="F127" i="8"/>
  <c r="I127" i="8" s="1"/>
  <c r="J127" i="8" s="1"/>
  <c r="E82" i="7"/>
  <c r="D82" i="7"/>
  <c r="K241" i="4"/>
  <c r="C281" i="1" s="1"/>
  <c r="G123" i="1" l="1"/>
  <c r="O123" i="1" s="1"/>
  <c r="B128" i="8"/>
  <c r="G128" i="8" s="1"/>
  <c r="D132" i="10"/>
  <c r="E132" i="10" s="1"/>
  <c r="K242" i="4"/>
  <c r="C282" i="1" s="1"/>
  <c r="P123" i="1" l="1"/>
  <c r="F124" i="1" s="1"/>
  <c r="L124" i="1" s="1"/>
  <c r="C133" i="10"/>
  <c r="F128" i="8"/>
  <c r="I128" i="8" s="1"/>
  <c r="J128" i="8" s="1"/>
  <c r="D128" i="8"/>
  <c r="C128" i="8" s="1"/>
  <c r="H124" i="1"/>
  <c r="I124" i="1" s="1"/>
  <c r="B83" i="7"/>
  <c r="J124" i="1"/>
  <c r="Q124" i="1"/>
  <c r="K243" i="4"/>
  <c r="C283" i="1" s="1"/>
  <c r="D133" i="10" l="1"/>
  <c r="E133" i="10" s="1"/>
  <c r="B129" i="8"/>
  <c r="G129" i="8" s="1"/>
  <c r="D83" i="7"/>
  <c r="E83" i="7"/>
  <c r="G124" i="1" s="1"/>
  <c r="P124" i="1" l="1"/>
  <c r="F125" i="1" s="1"/>
  <c r="L125" i="1" s="1"/>
  <c r="O124" i="1"/>
  <c r="D129" i="8"/>
  <c r="C129" i="8" s="1"/>
  <c r="C134" i="10"/>
  <c r="F129" i="8"/>
  <c r="I129" i="8" s="1"/>
  <c r="J129" i="8" s="1"/>
  <c r="B84" i="7"/>
  <c r="Q125" i="1"/>
  <c r="H125" i="1"/>
  <c r="I125" i="1" s="1"/>
  <c r="J125" i="1" l="1"/>
  <c r="B130" i="8"/>
  <c r="G130" i="8" s="1"/>
  <c r="D134" i="10"/>
  <c r="E134" i="10" s="1"/>
  <c r="E84" i="7"/>
  <c r="G125" i="1" s="1"/>
  <c r="O125" i="1" s="1"/>
  <c r="D84" i="7"/>
  <c r="C135" i="10" l="1"/>
  <c r="F130" i="8"/>
  <c r="I130" i="8" s="1"/>
  <c r="J130" i="8" s="1"/>
  <c r="D130" i="8"/>
  <c r="C130" i="8" s="1"/>
  <c r="P125" i="1"/>
  <c r="F126" i="1" s="1"/>
  <c r="L126" i="1" s="1"/>
  <c r="B131" i="8" l="1"/>
  <c r="G131" i="8" s="1"/>
  <c r="D135" i="10"/>
  <c r="E135" i="10" s="1"/>
  <c r="J126" i="1"/>
  <c r="B85" i="7"/>
  <c r="H126" i="1"/>
  <c r="I126" i="1" s="1"/>
  <c r="Q126" i="1"/>
  <c r="C136" i="10" l="1"/>
  <c r="F131" i="8"/>
  <c r="I131" i="8" s="1"/>
  <c r="J131" i="8" s="1"/>
  <c r="D131" i="8"/>
  <c r="C131" i="8" s="1"/>
  <c r="D85" i="7"/>
  <c r="E85" i="7"/>
  <c r="G126" i="1" s="1"/>
  <c r="O126" i="1" s="1"/>
  <c r="B132" i="8" l="1"/>
  <c r="G132" i="8" s="1"/>
  <c r="D136" i="10"/>
  <c r="E136" i="10" s="1"/>
  <c r="P126" i="1"/>
  <c r="F127" i="1" s="1"/>
  <c r="L127" i="1" s="1"/>
  <c r="C137" i="10" l="1"/>
  <c r="D132" i="8"/>
  <c r="C132" i="8" s="1"/>
  <c r="F132" i="8"/>
  <c r="I132" i="8" s="1"/>
  <c r="J132" i="8" s="1"/>
  <c r="H127" i="1"/>
  <c r="I127" i="1" s="1"/>
  <c r="Q127" i="1"/>
  <c r="J127" i="1"/>
  <c r="B86" i="7"/>
  <c r="D137" i="10" l="1"/>
  <c r="E137" i="10" s="1"/>
  <c r="B133" i="8"/>
  <c r="G133" i="8" s="1"/>
  <c r="E86" i="7"/>
  <c r="D86" i="7"/>
  <c r="G127" i="1" l="1"/>
  <c r="O127" i="1" s="1"/>
  <c r="C138" i="10"/>
  <c r="F133" i="8"/>
  <c r="I133" i="8" s="1"/>
  <c r="J133" i="8" s="1"/>
  <c r="D133" i="8"/>
  <c r="C133" i="8" s="1"/>
  <c r="P127" i="1" l="1"/>
  <c r="F128" i="1" s="1"/>
  <c r="L128" i="1" s="1"/>
  <c r="B134" i="8"/>
  <c r="G134" i="8" s="1"/>
  <c r="D138" i="10"/>
  <c r="E138" i="10" s="1"/>
  <c r="H128" i="1" l="1"/>
  <c r="I128" i="1" s="1"/>
  <c r="J128" i="1"/>
  <c r="B87" i="7"/>
  <c r="D87" i="7" s="1"/>
  <c r="Q128" i="1"/>
  <c r="C139" i="10"/>
  <c r="D134" i="8"/>
  <c r="C134" i="8" s="1"/>
  <c r="F134" i="8"/>
  <c r="I134" i="8" s="1"/>
  <c r="J134" i="8" s="1"/>
  <c r="E87" i="7" l="1"/>
  <c r="G128" i="1"/>
  <c r="O128" i="1" s="1"/>
  <c r="B135" i="8"/>
  <c r="G135" i="8" s="1"/>
  <c r="D139" i="10"/>
  <c r="E139" i="10" s="1"/>
  <c r="P128" i="1" l="1"/>
  <c r="F129" i="1" s="1"/>
  <c r="L129" i="1" s="1"/>
  <c r="C140" i="10"/>
  <c r="D135" i="8"/>
  <c r="C135" i="8" s="1"/>
  <c r="F135" i="8"/>
  <c r="I135" i="8" s="1"/>
  <c r="J135" i="8" s="1"/>
  <c r="H129" i="1" l="1"/>
  <c r="I129" i="1" s="1"/>
  <c r="J129" i="1"/>
  <c r="Q129" i="1"/>
  <c r="B88" i="7"/>
  <c r="E88" i="7" s="1"/>
  <c r="D140" i="10"/>
  <c r="E140" i="10" s="1"/>
  <c r="B136" i="8"/>
  <c r="G136" i="8" s="1"/>
  <c r="D88" i="7"/>
  <c r="C141" i="10" l="1"/>
  <c r="F136" i="8"/>
  <c r="I136" i="8" s="1"/>
  <c r="J136" i="8" s="1"/>
  <c r="D136" i="8"/>
  <c r="C136" i="8" s="1"/>
  <c r="G129" i="1"/>
  <c r="O129" i="1" s="1"/>
  <c r="D141" i="10" l="1"/>
  <c r="E141" i="10" s="1"/>
  <c r="B137" i="8"/>
  <c r="G137" i="8" s="1"/>
  <c r="P129" i="1"/>
  <c r="F130" i="1" s="1"/>
  <c r="Q130" i="1" l="1"/>
  <c r="L130" i="1"/>
  <c r="C142" i="10"/>
  <c r="F137" i="8"/>
  <c r="I137" i="8" s="1"/>
  <c r="J137" i="8" s="1"/>
  <c r="D137" i="8"/>
  <c r="C137" i="8" s="1"/>
  <c r="B89" i="7"/>
  <c r="H130" i="1"/>
  <c r="I130" i="1" s="1"/>
  <c r="J130" i="1"/>
  <c r="D142" i="10" l="1"/>
  <c r="E142" i="10" s="1"/>
  <c r="B138" i="8"/>
  <c r="G138" i="8" s="1"/>
  <c r="E89" i="7"/>
  <c r="D89" i="7"/>
  <c r="G130" i="1" l="1"/>
  <c r="P130" i="1" s="1"/>
  <c r="F131" i="1" s="1"/>
  <c r="D138" i="8"/>
  <c r="C138" i="8" s="1"/>
  <c r="F138" i="8"/>
  <c r="I138" i="8" s="1"/>
  <c r="J138" i="8" s="1"/>
  <c r="C143" i="10"/>
  <c r="L131" i="1" l="1"/>
  <c r="Q131" i="1"/>
  <c r="H131" i="1"/>
  <c r="I131" i="1" s="1"/>
  <c r="J131" i="1"/>
  <c r="O130" i="1"/>
  <c r="B90" i="7"/>
  <c r="E90" i="7" s="1"/>
  <c r="B139" i="8"/>
  <c r="G139" i="8" s="1"/>
  <c r="D143" i="10"/>
  <c r="E143" i="10" s="1"/>
  <c r="D90" i="7" l="1"/>
  <c r="G131" i="1" s="1"/>
  <c r="C144" i="10"/>
  <c r="F139" i="8"/>
  <c r="I139" i="8" s="1"/>
  <c r="J139" i="8" s="1"/>
  <c r="D139" i="8"/>
  <c r="C139" i="8" s="1"/>
  <c r="O131" i="1" l="1"/>
  <c r="P131" i="1"/>
  <c r="F132" i="1" s="1"/>
  <c r="L132" i="1" s="1"/>
  <c r="D144" i="10"/>
  <c r="E144" i="10" s="1"/>
  <c r="B140" i="8"/>
  <c r="G140" i="8" s="1"/>
  <c r="B91" i="7"/>
  <c r="Q132" i="1"/>
  <c r="J132" i="1"/>
  <c r="H132" i="1" l="1"/>
  <c r="I132" i="1" s="1"/>
  <c r="C145" i="10"/>
  <c r="D140" i="8"/>
  <c r="C140" i="8" s="1"/>
  <c r="F140" i="8"/>
  <c r="I140" i="8" s="1"/>
  <c r="J140" i="8" s="1"/>
  <c r="D91" i="7"/>
  <c r="E91" i="7"/>
  <c r="G132" i="1" l="1"/>
  <c r="O132" i="1" s="1"/>
  <c r="D145" i="10"/>
  <c r="E145" i="10" s="1"/>
  <c r="B141" i="8"/>
  <c r="G141" i="8" s="1"/>
  <c r="P132" i="1" l="1"/>
  <c r="F133" i="1" s="1"/>
  <c r="L133" i="1" s="1"/>
  <c r="F141" i="8"/>
  <c r="I141" i="8" s="1"/>
  <c r="J141" i="8" s="1"/>
  <c r="C146" i="10"/>
  <c r="D141" i="8"/>
  <c r="C141" i="8" s="1"/>
  <c r="B92" i="7"/>
  <c r="H133" i="1"/>
  <c r="I133" i="1" s="1"/>
  <c r="Q133" i="1"/>
  <c r="J133" i="1"/>
  <c r="D146" i="10" l="1"/>
  <c r="E146" i="10" s="1"/>
  <c r="B142" i="8"/>
  <c r="G142" i="8" s="1"/>
  <c r="E92" i="7"/>
  <c r="D92" i="7"/>
  <c r="G133" i="1" l="1"/>
  <c r="O133" i="1" s="1"/>
  <c r="C147" i="10"/>
  <c r="F142" i="8"/>
  <c r="I142" i="8" s="1"/>
  <c r="J142" i="8" s="1"/>
  <c r="D142" i="8"/>
  <c r="C142" i="8" s="1"/>
  <c r="P133" i="1" l="1"/>
  <c r="F134" i="1" s="1"/>
  <c r="L134" i="1" s="1"/>
  <c r="D147" i="10"/>
  <c r="E147" i="10" s="1"/>
  <c r="B143" i="8"/>
  <c r="G143" i="8" s="1"/>
  <c r="J134" i="1"/>
  <c r="Q134" i="1"/>
  <c r="H134" i="1"/>
  <c r="I134" i="1" s="1"/>
  <c r="B93" i="7"/>
  <c r="C148" i="10" l="1"/>
  <c r="D143" i="8"/>
  <c r="C143" i="8" s="1"/>
  <c r="F143" i="8"/>
  <c r="I143" i="8" s="1"/>
  <c r="J143" i="8" s="1"/>
  <c r="D93" i="7"/>
  <c r="E93" i="7"/>
  <c r="G134" i="1" s="1"/>
  <c r="O134" i="1" s="1"/>
  <c r="B144" i="8" l="1"/>
  <c r="G144" i="8" s="1"/>
  <c r="D148" i="10"/>
  <c r="E148" i="10" s="1"/>
  <c r="P134" i="1"/>
  <c r="F135" i="1" s="1"/>
  <c r="L135" i="1" s="1"/>
  <c r="F144" i="8" l="1"/>
  <c r="I144" i="8" s="1"/>
  <c r="J144" i="8" s="1"/>
  <c r="C149" i="10"/>
  <c r="D144" i="8"/>
  <c r="C144" i="8" s="1"/>
  <c r="B94" i="7"/>
  <c r="Q135" i="1"/>
  <c r="J135" i="1"/>
  <c r="H135" i="1"/>
  <c r="I135" i="1" s="1"/>
  <c r="D149" i="10" l="1"/>
  <c r="E149" i="10" s="1"/>
  <c r="B145" i="8"/>
  <c r="G145" i="8" s="1"/>
  <c r="E94" i="7"/>
  <c r="D94" i="7"/>
  <c r="F145" i="8" l="1"/>
  <c r="I145" i="8" s="1"/>
  <c r="J145" i="8" s="1"/>
  <c r="C150" i="10"/>
  <c r="D145" i="8"/>
  <c r="C145" i="8" s="1"/>
  <c r="G135" i="1"/>
  <c r="O135" i="1" s="1"/>
  <c r="B146" i="8" l="1"/>
  <c r="G146" i="8" s="1"/>
  <c r="D150" i="10"/>
  <c r="E150" i="10" s="1"/>
  <c r="P135" i="1"/>
  <c r="F136" i="1" s="1"/>
  <c r="J136" i="1" l="1"/>
  <c r="L136" i="1"/>
  <c r="D146" i="8"/>
  <c r="C146" i="8" s="1"/>
  <c r="F146" i="8"/>
  <c r="I146" i="8" s="1"/>
  <c r="J146" i="8" s="1"/>
  <c r="C151" i="10"/>
  <c r="B95" i="7"/>
  <c r="E95" i="7" s="1"/>
  <c r="H136" i="1"/>
  <c r="I136" i="1" s="1"/>
  <c r="Q136" i="1"/>
  <c r="D95" i="7" l="1"/>
  <c r="G136" i="1" s="1"/>
  <c r="D151" i="10"/>
  <c r="E151" i="10" s="1"/>
  <c r="B147" i="8"/>
  <c r="G147" i="8" s="1"/>
  <c r="P136" i="1" l="1"/>
  <c r="F137" i="1" s="1"/>
  <c r="L137" i="1" s="1"/>
  <c r="O136" i="1"/>
  <c r="C152" i="10"/>
  <c r="F147" i="8"/>
  <c r="I147" i="8" s="1"/>
  <c r="J147" i="8" s="1"/>
  <c r="D147" i="8"/>
  <c r="C147" i="8" s="1"/>
  <c r="Q137" i="1"/>
  <c r="J137" i="1"/>
  <c r="H137" i="1"/>
  <c r="I137" i="1" s="1"/>
  <c r="B96" i="7"/>
  <c r="D152" i="10" l="1"/>
  <c r="E152" i="10" s="1"/>
  <c r="B148" i="8"/>
  <c r="G148" i="8" s="1"/>
  <c r="E96" i="7"/>
  <c r="D96" i="7"/>
  <c r="G137" i="1" l="1"/>
  <c r="O137" i="1" s="1"/>
  <c r="C153" i="10"/>
  <c r="F148" i="8"/>
  <c r="I148" i="8" s="1"/>
  <c r="J148" i="8" s="1"/>
  <c r="D148" i="8"/>
  <c r="C148" i="8" s="1"/>
  <c r="P137" i="1" l="1"/>
  <c r="F138" i="1" s="1"/>
  <c r="L138" i="1" s="1"/>
  <c r="D153" i="10"/>
  <c r="E153" i="10" s="1"/>
  <c r="B149" i="8"/>
  <c r="G149" i="8" s="1"/>
  <c r="Q138" i="1"/>
  <c r="J138" i="1"/>
  <c r="B97" i="7"/>
  <c r="H138" i="1"/>
  <c r="I138" i="1" s="1"/>
  <c r="C154" i="10" l="1"/>
  <c r="F149" i="8"/>
  <c r="I149" i="8" s="1"/>
  <c r="J149" i="8" s="1"/>
  <c r="D149" i="8"/>
  <c r="C149" i="8" s="1"/>
  <c r="D97" i="7"/>
  <c r="E97" i="7"/>
  <c r="G138" i="1" l="1"/>
  <c r="O138" i="1" s="1"/>
  <c r="D154" i="10"/>
  <c r="E154" i="10" s="1"/>
  <c r="B150" i="8"/>
  <c r="G150" i="8" s="1"/>
  <c r="P138" i="1" l="1"/>
  <c r="F139" i="1" s="1"/>
  <c r="L139" i="1" s="1"/>
  <c r="C155" i="10"/>
  <c r="D150" i="8"/>
  <c r="C150" i="8" s="1"/>
  <c r="F150" i="8"/>
  <c r="I150" i="8" s="1"/>
  <c r="J150" i="8" s="1"/>
  <c r="H139" i="1"/>
  <c r="I139" i="1" s="1"/>
  <c r="J139" i="1"/>
  <c r="B98" i="7"/>
  <c r="Q139" i="1"/>
  <c r="D155" i="10" l="1"/>
  <c r="E155" i="10" s="1"/>
  <c r="B151" i="8"/>
  <c r="G151" i="8" s="1"/>
  <c r="E98" i="7"/>
  <c r="D98" i="7"/>
  <c r="G139" i="1" l="1"/>
  <c r="O139" i="1" s="1"/>
  <c r="C156" i="10"/>
  <c r="F151" i="8"/>
  <c r="I151" i="8" s="1"/>
  <c r="J151" i="8" s="1"/>
  <c r="D151" i="8"/>
  <c r="C151" i="8" s="1"/>
  <c r="P139" i="1" l="1"/>
  <c r="F140" i="1" s="1"/>
  <c r="L140" i="1" s="1"/>
  <c r="D156" i="10"/>
  <c r="E156" i="10" s="1"/>
  <c r="B152" i="8"/>
  <c r="G152" i="8" s="1"/>
  <c r="Q140" i="1"/>
  <c r="B99" i="7"/>
  <c r="H140" i="1"/>
  <c r="I140" i="1" s="1"/>
  <c r="J140" i="1"/>
  <c r="C157" i="10" l="1"/>
  <c r="D152" i="8"/>
  <c r="C152" i="8" s="1"/>
  <c r="D157" i="10" s="1"/>
  <c r="E157" i="10" s="1"/>
  <c r="F152" i="8"/>
  <c r="I152" i="8" s="1"/>
  <c r="J152" i="8" s="1"/>
  <c r="D99" i="7"/>
  <c r="E99" i="7"/>
  <c r="G140" i="1" s="1"/>
  <c r="O140" i="1" s="1"/>
  <c r="B153" i="8" l="1"/>
  <c r="G153" i="8" s="1"/>
  <c r="P140" i="1"/>
  <c r="F141" i="1" s="1"/>
  <c r="L141" i="1" s="1"/>
  <c r="D153" i="8" l="1"/>
  <c r="C153" i="8" s="1"/>
  <c r="F153" i="8"/>
  <c r="I153" i="8" s="1"/>
  <c r="J153" i="8" s="1"/>
  <c r="C158" i="10"/>
  <c r="B100" i="7"/>
  <c r="H141" i="1"/>
  <c r="I141" i="1" s="1"/>
  <c r="J141" i="1"/>
  <c r="Q141" i="1"/>
  <c r="B154" i="8" l="1"/>
  <c r="G154" i="8" s="1"/>
  <c r="D158" i="10"/>
  <c r="E158" i="10" s="1"/>
  <c r="E100" i="7"/>
  <c r="D100" i="7"/>
  <c r="C159" i="10" l="1"/>
  <c r="D154" i="8"/>
  <c r="C154" i="8" s="1"/>
  <c r="F154" i="8"/>
  <c r="I154" i="8" s="1"/>
  <c r="J154" i="8" s="1"/>
  <c r="G141" i="1"/>
  <c r="O141" i="1" s="1"/>
  <c r="B155" i="8" l="1"/>
  <c r="G155" i="8" s="1"/>
  <c r="D159" i="10"/>
  <c r="E159" i="10" s="1"/>
  <c r="P141" i="1"/>
  <c r="F142" i="1" s="1"/>
  <c r="B101" i="7" l="1"/>
  <c r="E101" i="7" s="1"/>
  <c r="L142" i="1"/>
  <c r="F155" i="8"/>
  <c r="I155" i="8" s="1"/>
  <c r="J155" i="8" s="1"/>
  <c r="C160" i="10"/>
  <c r="D155" i="8"/>
  <c r="C155" i="8" s="1"/>
  <c r="J142" i="1"/>
  <c r="H142" i="1"/>
  <c r="I142" i="1" s="1"/>
  <c r="Q142" i="1"/>
  <c r="D101" i="7" l="1"/>
  <c r="G142" i="1" s="1"/>
  <c r="B156" i="8"/>
  <c r="G156" i="8" s="1"/>
  <c r="D160" i="10"/>
  <c r="E160" i="10" s="1"/>
  <c r="P142" i="1" l="1"/>
  <c r="F143" i="1" s="1"/>
  <c r="L143" i="1" s="1"/>
  <c r="O142" i="1"/>
  <c r="C161" i="10"/>
  <c r="F156" i="8"/>
  <c r="I156" i="8" s="1"/>
  <c r="J156" i="8" s="1"/>
  <c r="D156" i="8"/>
  <c r="C156" i="8" s="1"/>
  <c r="D161" i="10" s="1"/>
  <c r="E161" i="10" s="1"/>
  <c r="J143" i="1"/>
  <c r="Q143" i="1"/>
  <c r="B102" i="7"/>
  <c r="H143" i="1"/>
  <c r="I143" i="1" s="1"/>
  <c r="B157" i="8" l="1"/>
  <c r="G157" i="8" s="1"/>
  <c r="E102" i="7"/>
  <c r="D102" i="7"/>
  <c r="C162" i="10" l="1"/>
  <c r="F157" i="8"/>
  <c r="I157" i="8" s="1"/>
  <c r="J157" i="8" s="1"/>
  <c r="D157" i="8"/>
  <c r="C157" i="8" s="1"/>
  <c r="G143" i="1"/>
  <c r="P143" i="1" l="1"/>
  <c r="F144" i="1" s="1"/>
  <c r="L144" i="1" s="1"/>
  <c r="O143" i="1"/>
  <c r="B158" i="8"/>
  <c r="G158" i="8" s="1"/>
  <c r="D162" i="10"/>
  <c r="E162" i="10" s="1"/>
  <c r="B103" i="7"/>
  <c r="J144" i="1"/>
  <c r="H144" i="1" l="1"/>
  <c r="I144" i="1" s="1"/>
  <c r="Q144" i="1"/>
  <c r="D158" i="8"/>
  <c r="C158" i="8" s="1"/>
  <c r="C163" i="10"/>
  <c r="F158" i="8"/>
  <c r="I158" i="8" s="1"/>
  <c r="J158" i="8" s="1"/>
  <c r="E103" i="7"/>
  <c r="D103" i="7"/>
  <c r="G144" i="1" l="1"/>
  <c r="O144" i="1" s="1"/>
  <c r="B159" i="8"/>
  <c r="G159" i="8" s="1"/>
  <c r="D163" i="10"/>
  <c r="E163" i="10" s="1"/>
  <c r="P144" i="1" l="1"/>
  <c r="F145" i="1" s="1"/>
  <c r="L145" i="1" s="1"/>
  <c r="C164" i="10"/>
  <c r="F159" i="8"/>
  <c r="I159" i="8" s="1"/>
  <c r="J159" i="8" s="1"/>
  <c r="D159" i="8"/>
  <c r="C159" i="8" s="1"/>
  <c r="D164" i="10" s="1"/>
  <c r="E164" i="10" s="1"/>
  <c r="Q145" i="1"/>
  <c r="H145" i="1"/>
  <c r="I145" i="1" s="1"/>
  <c r="J145" i="1"/>
  <c r="B104" i="7"/>
  <c r="B160" i="8" l="1"/>
  <c r="G160" i="8" s="1"/>
  <c r="E104" i="7"/>
  <c r="D104" i="7"/>
  <c r="G145" i="1" l="1"/>
  <c r="O145" i="1" s="1"/>
  <c r="C165" i="10"/>
  <c r="F160" i="8"/>
  <c r="I160" i="8" s="1"/>
  <c r="J160" i="8" s="1"/>
  <c r="D160" i="8"/>
  <c r="C160" i="8" s="1"/>
  <c r="P145" i="1" l="1"/>
  <c r="F146" i="1" s="1"/>
  <c r="L146" i="1" s="1"/>
  <c r="B161" i="8"/>
  <c r="G161" i="8" s="1"/>
  <c r="D165" i="10"/>
  <c r="E165" i="10" s="1"/>
  <c r="J146" i="1"/>
  <c r="Q146" i="1"/>
  <c r="B105" i="7"/>
  <c r="H146" i="1"/>
  <c r="I146" i="1" s="1"/>
  <c r="C166" i="10" l="1"/>
  <c r="D161" i="8"/>
  <c r="C161" i="8" s="1"/>
  <c r="F161" i="8"/>
  <c r="I161" i="8" s="1"/>
  <c r="J161" i="8" s="1"/>
  <c r="E105" i="7"/>
  <c r="D105" i="7"/>
  <c r="B162" i="8" l="1"/>
  <c r="G162" i="8" s="1"/>
  <c r="D166" i="10"/>
  <c r="E166" i="10" s="1"/>
  <c r="G146" i="1"/>
  <c r="O146" i="1" s="1"/>
  <c r="C167" i="10" l="1"/>
  <c r="D162" i="8"/>
  <c r="C162" i="8" s="1"/>
  <c r="D167" i="10" s="1"/>
  <c r="F162" i="8"/>
  <c r="I162" i="8" s="1"/>
  <c r="J162" i="8" s="1"/>
  <c r="P146" i="1"/>
  <c r="F147" i="1" s="1"/>
  <c r="E167" i="10" l="1"/>
  <c r="B106" i="7"/>
  <c r="L147" i="1"/>
  <c r="J147" i="1"/>
  <c r="B163" i="8"/>
  <c r="G163" i="8" s="1"/>
  <c r="E106" i="7"/>
  <c r="G147" i="1" s="1"/>
  <c r="D106" i="7"/>
  <c r="H147" i="1"/>
  <c r="I147" i="1" s="1"/>
  <c r="Q147" i="1"/>
  <c r="O147" i="1" l="1"/>
  <c r="F163" i="8"/>
  <c r="I163" i="8" s="1"/>
  <c r="J163" i="8" s="1"/>
  <c r="C168" i="10"/>
  <c r="D163" i="8"/>
  <c r="C163" i="8" s="1"/>
  <c r="P147" i="1"/>
  <c r="F148" i="1" s="1"/>
  <c r="L148" i="1" s="1"/>
  <c r="D168" i="10" l="1"/>
  <c r="E168" i="10" s="1"/>
  <c r="B164" i="8"/>
  <c r="G164" i="8" s="1"/>
  <c r="Q148" i="1"/>
  <c r="H148" i="1"/>
  <c r="I148" i="1" s="1"/>
  <c r="J148" i="1"/>
  <c r="B107" i="7"/>
  <c r="F164" i="8" l="1"/>
  <c r="I164" i="8" s="1"/>
  <c r="J164" i="8" s="1"/>
  <c r="D164" i="8"/>
  <c r="C164" i="8" s="1"/>
  <c r="C169" i="10"/>
  <c r="D107" i="7"/>
  <c r="E107" i="7"/>
  <c r="G148" i="1" s="1"/>
  <c r="O148" i="1" s="1"/>
  <c r="D169" i="10" l="1"/>
  <c r="E169" i="10" s="1"/>
  <c r="B165" i="8"/>
  <c r="G165" i="8" s="1"/>
  <c r="P148" i="1"/>
  <c r="F149" i="1" s="1"/>
  <c r="L149" i="1" s="1"/>
  <c r="C170" i="10" l="1"/>
  <c r="F165" i="8"/>
  <c r="I165" i="8" s="1"/>
  <c r="J165" i="8" s="1"/>
  <c r="D165" i="8"/>
  <c r="C165" i="8" s="1"/>
  <c r="D170" i="10" s="1"/>
  <c r="J149" i="1"/>
  <c r="B108" i="7"/>
  <c r="Q149" i="1"/>
  <c r="H149" i="1"/>
  <c r="I149" i="1" s="1"/>
  <c r="E170" i="10" l="1"/>
  <c r="B166" i="8"/>
  <c r="G166" i="8" s="1"/>
  <c r="E108" i="7"/>
  <c r="G149" i="1" s="1"/>
  <c r="O149" i="1" s="1"/>
  <c r="D108" i="7"/>
  <c r="C171" i="10" l="1"/>
  <c r="F166" i="8"/>
  <c r="I166" i="8" s="1"/>
  <c r="J166" i="8" s="1"/>
  <c r="D166" i="8"/>
  <c r="C166" i="8" s="1"/>
  <c r="P149" i="1"/>
  <c r="F150" i="1" s="1"/>
  <c r="L150" i="1" s="1"/>
  <c r="B167" i="8" l="1"/>
  <c r="G167" i="8" s="1"/>
  <c r="D171" i="10"/>
  <c r="E171" i="10" s="1"/>
  <c r="J150" i="1"/>
  <c r="B109" i="7"/>
  <c r="Q150" i="1"/>
  <c r="H150" i="1"/>
  <c r="I150" i="1" s="1"/>
  <c r="C172" i="10" l="1"/>
  <c r="D167" i="8"/>
  <c r="C167" i="8" s="1"/>
  <c r="F167" i="8"/>
  <c r="I167" i="8" s="1"/>
  <c r="J167" i="8" s="1"/>
  <c r="D109" i="7"/>
  <c r="E109" i="7"/>
  <c r="G150" i="1" s="1"/>
  <c r="O150" i="1" s="1"/>
  <c r="B168" i="8" l="1"/>
  <c r="G168" i="8" s="1"/>
  <c r="D172" i="10"/>
  <c r="E172" i="10" s="1"/>
  <c r="P150" i="1"/>
  <c r="F151" i="1" s="1"/>
  <c r="L151" i="1" s="1"/>
  <c r="C173" i="10" l="1"/>
  <c r="D168" i="8"/>
  <c r="C168" i="8" s="1"/>
  <c r="F168" i="8"/>
  <c r="I168" i="8" s="1"/>
  <c r="J168" i="8" s="1"/>
  <c r="H151" i="1"/>
  <c r="I151" i="1" s="1"/>
  <c r="B110" i="7"/>
  <c r="Q151" i="1"/>
  <c r="J151" i="1"/>
  <c r="D173" i="10" l="1"/>
  <c r="E173" i="10" s="1"/>
  <c r="B169" i="8"/>
  <c r="G169" i="8" s="1"/>
  <c r="E110" i="7"/>
  <c r="D110" i="7"/>
  <c r="C174" i="10" l="1"/>
  <c r="D169" i="8"/>
  <c r="C169" i="8" s="1"/>
  <c r="F169" i="8"/>
  <c r="I169" i="8" s="1"/>
  <c r="J169" i="8" s="1"/>
  <c r="G151" i="1"/>
  <c r="O151" i="1" s="1"/>
  <c r="B170" i="8" l="1"/>
  <c r="G170" i="8" s="1"/>
  <c r="D174" i="10"/>
  <c r="E174" i="10" s="1"/>
  <c r="P151" i="1"/>
  <c r="F152" i="1" s="1"/>
  <c r="L152" i="1" s="1"/>
  <c r="C175" i="10" l="1"/>
  <c r="D170" i="8"/>
  <c r="C170" i="8" s="1"/>
  <c r="F170" i="8"/>
  <c r="I170" i="8" s="1"/>
  <c r="J170" i="8" s="1"/>
  <c r="J152" i="1"/>
  <c r="H152" i="1"/>
  <c r="I152" i="1" s="1"/>
  <c r="Q152" i="1"/>
  <c r="B111" i="7"/>
  <c r="D175" i="10" l="1"/>
  <c r="E175" i="10" s="1"/>
  <c r="B171" i="8"/>
  <c r="G171" i="8" s="1"/>
  <c r="E111" i="7"/>
  <c r="G152" i="1" s="1"/>
  <c r="O152" i="1" s="1"/>
  <c r="D111" i="7"/>
  <c r="D171" i="8" l="1"/>
  <c r="C171" i="8" s="1"/>
  <c r="F171" i="8"/>
  <c r="I171" i="8" s="1"/>
  <c r="J171" i="8" s="1"/>
  <c r="C176" i="10"/>
  <c r="P152" i="1"/>
  <c r="F153" i="1" s="1"/>
  <c r="Q153" i="1" l="1"/>
  <c r="L153" i="1"/>
  <c r="B112" i="7"/>
  <c r="E112" i="7" s="1"/>
  <c r="J153" i="1"/>
  <c r="H153" i="1"/>
  <c r="I153" i="1" s="1"/>
  <c r="D176" i="10"/>
  <c r="E176" i="10" s="1"/>
  <c r="B172" i="8"/>
  <c r="G172" i="8" s="1"/>
  <c r="D112" i="7"/>
  <c r="G153" i="1" l="1"/>
  <c r="O153" i="1" s="1"/>
  <c r="F172" i="8"/>
  <c r="I172" i="8" s="1"/>
  <c r="J172" i="8" s="1"/>
  <c r="C177" i="10"/>
  <c r="D172" i="8"/>
  <c r="C172" i="8" s="1"/>
  <c r="D177" i="10" s="1"/>
  <c r="P153" i="1" l="1"/>
  <c r="F154" i="1" s="1"/>
  <c r="L154" i="1" s="1"/>
  <c r="E177" i="10"/>
  <c r="B173" i="8"/>
  <c r="G173" i="8" s="1"/>
  <c r="J154" i="1"/>
  <c r="Q154" i="1"/>
  <c r="H154" i="1"/>
  <c r="I154" i="1" s="1"/>
  <c r="B113" i="7"/>
  <c r="C178" i="10" l="1"/>
  <c r="D173" i="8"/>
  <c r="C173" i="8" s="1"/>
  <c r="F173" i="8"/>
  <c r="I173" i="8" s="1"/>
  <c r="J173" i="8" s="1"/>
  <c r="D113" i="7"/>
  <c r="E113" i="7"/>
  <c r="G154" i="1" s="1"/>
  <c r="O154" i="1" s="1"/>
  <c r="B174" i="8" l="1"/>
  <c r="G174" i="8" s="1"/>
  <c r="D178" i="10"/>
  <c r="E178" i="10" s="1"/>
  <c r="P154" i="1"/>
  <c r="F155" i="1" s="1"/>
  <c r="L155" i="1" s="1"/>
  <c r="F174" i="8" l="1"/>
  <c r="I174" i="8" s="1"/>
  <c r="J174" i="8" s="1"/>
  <c r="C179" i="10"/>
  <c r="D174" i="8"/>
  <c r="C174" i="8" s="1"/>
  <c r="H155" i="1"/>
  <c r="I155" i="1" s="1"/>
  <c r="B114" i="7"/>
  <c r="J155" i="1"/>
  <c r="Q155" i="1"/>
  <c r="D179" i="10" l="1"/>
  <c r="E179" i="10" s="1"/>
  <c r="B175" i="8"/>
  <c r="G175" i="8" s="1"/>
  <c r="E114" i="7"/>
  <c r="D114" i="7"/>
  <c r="C180" i="10" l="1"/>
  <c r="D175" i="8"/>
  <c r="C175" i="8" s="1"/>
  <c r="F175" i="8"/>
  <c r="I175" i="8" s="1"/>
  <c r="J175" i="8" s="1"/>
  <c r="G155" i="1"/>
  <c r="P155" i="1" l="1"/>
  <c r="F156" i="1" s="1"/>
  <c r="L156" i="1" s="1"/>
  <c r="O155" i="1"/>
  <c r="B176" i="8"/>
  <c r="G176" i="8" s="1"/>
  <c r="D180" i="10"/>
  <c r="E180" i="10" s="1"/>
  <c r="B115" i="7" l="1"/>
  <c r="Q156" i="1"/>
  <c r="H156" i="1"/>
  <c r="I156" i="1" s="1"/>
  <c r="J156" i="1"/>
  <c r="C181" i="10"/>
  <c r="F176" i="8"/>
  <c r="I176" i="8" s="1"/>
  <c r="J176" i="8" s="1"/>
  <c r="D176" i="8"/>
  <c r="C176" i="8" s="1"/>
  <c r="D115" i="7"/>
  <c r="E115" i="7"/>
  <c r="G156" i="1" l="1"/>
  <c r="O156" i="1" s="1"/>
  <c r="B177" i="8"/>
  <c r="G177" i="8" s="1"/>
  <c r="D181" i="10"/>
  <c r="E181" i="10" s="1"/>
  <c r="P156" i="1" l="1"/>
  <c r="F157" i="1" s="1"/>
  <c r="L157" i="1" s="1"/>
  <c r="F177" i="8"/>
  <c r="I177" i="8" s="1"/>
  <c r="J177" i="8" s="1"/>
  <c r="C182" i="10"/>
  <c r="D177" i="8"/>
  <c r="C177" i="8" s="1"/>
  <c r="H157" i="1"/>
  <c r="I157" i="1" s="1"/>
  <c r="J157" i="1"/>
  <c r="Q157" i="1"/>
  <c r="B116" i="7"/>
  <c r="D182" i="10" l="1"/>
  <c r="E182" i="10" s="1"/>
  <c r="B178" i="8"/>
  <c r="G178" i="8" s="1"/>
  <c r="E116" i="7"/>
  <c r="D116" i="7"/>
  <c r="G157" i="1" l="1"/>
  <c r="O157" i="1" s="1"/>
  <c r="C183" i="10"/>
  <c r="F178" i="8"/>
  <c r="I178" i="8" s="1"/>
  <c r="J178" i="8" s="1"/>
  <c r="D178" i="8"/>
  <c r="C178" i="8" s="1"/>
  <c r="P157" i="1" l="1"/>
  <c r="F158" i="1" s="1"/>
  <c r="L158" i="1" s="1"/>
  <c r="B179" i="8"/>
  <c r="G179" i="8" s="1"/>
  <c r="D183" i="10"/>
  <c r="E183" i="10" s="1"/>
  <c r="H158" i="1"/>
  <c r="I158" i="1" s="1"/>
  <c r="J158" i="1"/>
  <c r="B117" i="7"/>
  <c r="Q158" i="1"/>
  <c r="C184" i="10" l="1"/>
  <c r="F179" i="8"/>
  <c r="I179" i="8" s="1"/>
  <c r="J179" i="8" s="1"/>
  <c r="D179" i="8"/>
  <c r="C179" i="8" s="1"/>
  <c r="D117" i="7"/>
  <c r="E117" i="7"/>
  <c r="G158" i="1" s="1"/>
  <c r="O158" i="1" s="1"/>
  <c r="B180" i="8" l="1"/>
  <c r="G180" i="8" s="1"/>
  <c r="D184" i="10"/>
  <c r="E184" i="10" s="1"/>
  <c r="P158" i="1"/>
  <c r="F159" i="1" s="1"/>
  <c r="L159" i="1" s="1"/>
  <c r="C185" i="10" l="1"/>
  <c r="D180" i="8"/>
  <c r="C180" i="8" s="1"/>
  <c r="F180" i="8"/>
  <c r="I180" i="8" s="1"/>
  <c r="J180" i="8" s="1"/>
  <c r="B118" i="7"/>
  <c r="H159" i="1"/>
  <c r="I159" i="1" s="1"/>
  <c r="Q159" i="1"/>
  <c r="J159" i="1"/>
  <c r="D185" i="10" l="1"/>
  <c r="E185" i="10" s="1"/>
  <c r="B181" i="8"/>
  <c r="G181" i="8" s="1"/>
  <c r="E118" i="7"/>
  <c r="D118" i="7"/>
  <c r="G159" i="1" l="1"/>
  <c r="O159" i="1" s="1"/>
  <c r="C186" i="10"/>
  <c r="F181" i="8"/>
  <c r="I181" i="8" s="1"/>
  <c r="J181" i="8" s="1"/>
  <c r="D181" i="8"/>
  <c r="C181" i="8" s="1"/>
  <c r="P159" i="1" l="1"/>
  <c r="F160" i="1" s="1"/>
  <c r="L160" i="1" s="1"/>
  <c r="B182" i="8"/>
  <c r="G182" i="8" s="1"/>
  <c r="D186" i="10"/>
  <c r="E186" i="10" s="1"/>
  <c r="Q160" i="1"/>
  <c r="J160" i="1"/>
  <c r="H160" i="1" l="1"/>
  <c r="I160" i="1" s="1"/>
  <c r="B119" i="7"/>
  <c r="C187" i="10"/>
  <c r="F182" i="8"/>
  <c r="I182" i="8" s="1"/>
  <c r="J182" i="8" s="1"/>
  <c r="D182" i="8"/>
  <c r="C182" i="8" s="1"/>
  <c r="E119" i="7"/>
  <c r="D119" i="7"/>
  <c r="G160" i="1" l="1"/>
  <c r="O160" i="1" s="1"/>
  <c r="B183" i="8"/>
  <c r="G183" i="8" s="1"/>
  <c r="D187" i="10"/>
  <c r="E187" i="10" s="1"/>
  <c r="P160" i="1" l="1"/>
  <c r="F161" i="1" s="1"/>
  <c r="L161" i="1" s="1"/>
  <c r="D183" i="8"/>
  <c r="C183" i="8" s="1"/>
  <c r="C188" i="10"/>
  <c r="F183" i="8"/>
  <c r="I183" i="8" s="1"/>
  <c r="J183" i="8" s="1"/>
  <c r="J161" i="1" l="1"/>
  <c r="B120" i="7"/>
  <c r="Q161" i="1"/>
  <c r="H161" i="1"/>
  <c r="I161" i="1" s="1"/>
  <c r="D188" i="10"/>
  <c r="E188" i="10" s="1"/>
  <c r="B184" i="8"/>
  <c r="G184" i="8" s="1"/>
  <c r="E120" i="7"/>
  <c r="G161" i="1" s="1"/>
  <c r="O161" i="1" s="1"/>
  <c r="D120" i="7"/>
  <c r="F184" i="8" l="1"/>
  <c r="I184" i="8" s="1"/>
  <c r="J184" i="8" s="1"/>
  <c r="C189" i="10"/>
  <c r="D184" i="8"/>
  <c r="C184" i="8" s="1"/>
  <c r="P161" i="1"/>
  <c r="F162" i="1" s="1"/>
  <c r="L162" i="1" s="1"/>
  <c r="D189" i="10" l="1"/>
  <c r="E189" i="10" s="1"/>
  <c r="B185" i="8"/>
  <c r="G185" i="8" s="1"/>
  <c r="Q162" i="1"/>
  <c r="J162" i="1"/>
  <c r="B121" i="7"/>
  <c r="H162" i="1"/>
  <c r="I162" i="1" s="1"/>
  <c r="C190" i="10" l="1"/>
  <c r="F185" i="8"/>
  <c r="I185" i="8" s="1"/>
  <c r="J185" i="8" s="1"/>
  <c r="D185" i="8"/>
  <c r="C185" i="8" s="1"/>
  <c r="E121" i="7"/>
  <c r="D121" i="7"/>
  <c r="D190" i="10" l="1"/>
  <c r="E190" i="10" s="1"/>
  <c r="B186" i="8"/>
  <c r="G186" i="8" s="1"/>
  <c r="G162" i="1"/>
  <c r="O162" i="1" s="1"/>
  <c r="F186" i="8" l="1"/>
  <c r="I186" i="8" s="1"/>
  <c r="J186" i="8" s="1"/>
  <c r="C191" i="10"/>
  <c r="D186" i="8"/>
  <c r="C186" i="8" s="1"/>
  <c r="P162" i="1"/>
  <c r="F163" i="1" s="1"/>
  <c r="L163" i="1" s="1"/>
  <c r="B187" i="8" l="1"/>
  <c r="G187" i="8" s="1"/>
  <c r="D191" i="10"/>
  <c r="E191" i="10" s="1"/>
  <c r="B122" i="7"/>
  <c r="J163" i="1"/>
  <c r="H163" i="1"/>
  <c r="I163" i="1" s="1"/>
  <c r="Q163" i="1"/>
  <c r="F187" i="8" l="1"/>
  <c r="I187" i="8" s="1"/>
  <c r="J187" i="8" s="1"/>
  <c r="C192" i="10"/>
  <c r="D187" i="8"/>
  <c r="C187" i="8" s="1"/>
  <c r="E122" i="7"/>
  <c r="D122" i="7"/>
  <c r="G163" i="1" l="1"/>
  <c r="O163" i="1" s="1"/>
  <c r="D192" i="10"/>
  <c r="E192" i="10" s="1"/>
  <c r="B188" i="8"/>
  <c r="G188" i="8" s="1"/>
  <c r="P163" i="1" l="1"/>
  <c r="F164" i="1" s="1"/>
  <c r="L164" i="1" s="1"/>
  <c r="C193" i="10"/>
  <c r="D188" i="8"/>
  <c r="C188" i="8" s="1"/>
  <c r="F188" i="8"/>
  <c r="I188" i="8" s="1"/>
  <c r="J188" i="8" s="1"/>
  <c r="J164" i="1"/>
  <c r="H164" i="1" l="1"/>
  <c r="I164" i="1" s="1"/>
  <c r="Q164" i="1"/>
  <c r="B123" i="7"/>
  <c r="E123" i="7" s="1"/>
  <c r="D193" i="10"/>
  <c r="E193" i="10" s="1"/>
  <c r="B189" i="8"/>
  <c r="G189" i="8" s="1"/>
  <c r="D123" i="7"/>
  <c r="C194" i="10" l="1"/>
  <c r="F189" i="8"/>
  <c r="I189" i="8" s="1"/>
  <c r="J189" i="8" s="1"/>
  <c r="D189" i="8"/>
  <c r="C189" i="8" s="1"/>
  <c r="D194" i="10" s="1"/>
  <c r="G164" i="1"/>
  <c r="O164" i="1" s="1"/>
  <c r="E194" i="10" l="1"/>
  <c r="B190" i="8"/>
  <c r="F190" i="8" s="1"/>
  <c r="P164" i="1"/>
  <c r="F165" i="1" s="1"/>
  <c r="B124" i="7" l="1"/>
  <c r="L165" i="1"/>
  <c r="D190" i="8"/>
  <c r="C190" i="8" s="1"/>
  <c r="D195" i="10" s="1"/>
  <c r="C195" i="10"/>
  <c r="G190" i="8"/>
  <c r="I190" i="8" s="1"/>
  <c r="J190" i="8" s="1"/>
  <c r="Q165" i="1"/>
  <c r="E124" i="7"/>
  <c r="D124" i="7"/>
  <c r="H165" i="1"/>
  <c r="I165" i="1" s="1"/>
  <c r="J165" i="1"/>
  <c r="G165" i="1" l="1"/>
  <c r="O165" i="1" s="1"/>
  <c r="E195" i="10"/>
  <c r="B191" i="8"/>
  <c r="G191" i="8" s="1"/>
  <c r="P165" i="1" l="1"/>
  <c r="F166" i="1" s="1"/>
  <c r="L166" i="1" s="1"/>
  <c r="F191" i="8"/>
  <c r="I191" i="8" s="1"/>
  <c r="J191" i="8" s="1"/>
  <c r="D191" i="8"/>
  <c r="C191" i="8" s="1"/>
  <c r="D196" i="10" s="1"/>
  <c r="C196" i="10"/>
  <c r="H166" i="1"/>
  <c r="I166" i="1" s="1"/>
  <c r="Q166" i="1"/>
  <c r="B125" i="7"/>
  <c r="J166" i="1"/>
  <c r="E196" i="10" l="1"/>
  <c r="B192" i="8"/>
  <c r="F192" i="8" s="1"/>
  <c r="D125" i="7"/>
  <c r="E125" i="7"/>
  <c r="G166" i="1" s="1"/>
  <c r="O166" i="1" s="1"/>
  <c r="D192" i="8" l="1"/>
  <c r="C192" i="8" s="1"/>
  <c r="D197" i="10" s="1"/>
  <c r="G192" i="8"/>
  <c r="I192" i="8" s="1"/>
  <c r="J192" i="8" s="1"/>
  <c r="C197" i="10"/>
  <c r="P166" i="1"/>
  <c r="F167" i="1" s="1"/>
  <c r="L167" i="1" s="1"/>
  <c r="B193" i="8" l="1"/>
  <c r="G193" i="8" s="1"/>
  <c r="E197" i="10"/>
  <c r="D193" i="8"/>
  <c r="C193" i="8" s="1"/>
  <c r="D198" i="10" s="1"/>
  <c r="F193" i="8"/>
  <c r="I193" i="8" s="1"/>
  <c r="J193" i="8" s="1"/>
  <c r="C198" i="10"/>
  <c r="Q167" i="1"/>
  <c r="B126" i="7"/>
  <c r="J167" i="1"/>
  <c r="H167" i="1"/>
  <c r="I167" i="1" s="1"/>
  <c r="B194" i="8" l="1"/>
  <c r="G194" i="8" s="1"/>
  <c r="E198" i="10"/>
  <c r="E126" i="7"/>
  <c r="D126" i="7"/>
  <c r="F194" i="8" l="1"/>
  <c r="I194" i="8" s="1"/>
  <c r="J194" i="8" s="1"/>
  <c r="D194" i="8"/>
  <c r="C194" i="8" s="1"/>
  <c r="D199" i="10" s="1"/>
  <c r="C199" i="10"/>
  <c r="G167" i="1"/>
  <c r="O167" i="1" s="1"/>
  <c r="E199" i="10" l="1"/>
  <c r="B195" i="8"/>
  <c r="G195" i="8" s="1"/>
  <c r="P167" i="1"/>
  <c r="F168" i="1" s="1"/>
  <c r="L168" i="1" s="1"/>
  <c r="D195" i="8" l="1"/>
  <c r="C195" i="8" s="1"/>
  <c r="D200" i="10" s="1"/>
  <c r="E200" i="10" s="1"/>
  <c r="C200" i="10"/>
  <c r="F195" i="8"/>
  <c r="I195" i="8" s="1"/>
  <c r="J195" i="8" s="1"/>
  <c r="B196" i="8"/>
  <c r="G196" i="8" s="1"/>
  <c r="J168" i="1"/>
  <c r="B127" i="7"/>
  <c r="Q168" i="1"/>
  <c r="H168" i="1"/>
  <c r="I168" i="1" s="1"/>
  <c r="D196" i="8" l="1"/>
  <c r="C196" i="8" s="1"/>
  <c r="D201" i="10" s="1"/>
  <c r="C201" i="10"/>
  <c r="F196" i="8"/>
  <c r="I196" i="8" s="1"/>
  <c r="J196" i="8" s="1"/>
  <c r="E127" i="7"/>
  <c r="D127" i="7"/>
  <c r="G168" i="1" l="1"/>
  <c r="O168" i="1" s="1"/>
  <c r="B197" i="8"/>
  <c r="D197" i="8" s="1"/>
  <c r="C197" i="8" s="1"/>
  <c r="D202" i="10" s="1"/>
  <c r="E201" i="10"/>
  <c r="F197" i="8"/>
  <c r="P168" i="1" l="1"/>
  <c r="F169" i="1" s="1"/>
  <c r="G197" i="8"/>
  <c r="B198" i="8"/>
  <c r="G198" i="8" s="1"/>
  <c r="C202" i="10"/>
  <c r="E202" i="10" s="1"/>
  <c r="H169" i="1"/>
  <c r="I169" i="1" s="1"/>
  <c r="L169" i="1"/>
  <c r="I197" i="8"/>
  <c r="J197" i="8" s="1"/>
  <c r="B128" i="7"/>
  <c r="E128" i="7" s="1"/>
  <c r="Q169" i="1"/>
  <c r="J169" i="1"/>
  <c r="D198" i="8"/>
  <c r="C198" i="8" s="1"/>
  <c r="D203" i="10" s="1"/>
  <c r="C203" i="10" l="1"/>
  <c r="F198" i="8"/>
  <c r="I198" i="8" s="1"/>
  <c r="J198" i="8" s="1"/>
  <c r="D128" i="7"/>
  <c r="G169" i="1" s="1"/>
  <c r="O169" i="1" s="1"/>
  <c r="B199" i="8"/>
  <c r="G199" i="8" s="1"/>
  <c r="E203" i="10"/>
  <c r="C204" i="10" l="1"/>
  <c r="D199" i="8"/>
  <c r="C199" i="8" s="1"/>
  <c r="D204" i="10" s="1"/>
  <c r="F199" i="8"/>
  <c r="I199" i="8" s="1"/>
  <c r="J199" i="8" s="1"/>
  <c r="P169" i="1"/>
  <c r="F170" i="1" s="1"/>
  <c r="Q170" i="1" l="1"/>
  <c r="L170" i="1"/>
  <c r="B200" i="8"/>
  <c r="G200" i="8" s="1"/>
  <c r="E204" i="10"/>
  <c r="J170" i="1"/>
  <c r="H170" i="1"/>
  <c r="I170" i="1" s="1"/>
  <c r="B129" i="7"/>
  <c r="C205" i="10" l="1"/>
  <c r="D200" i="8"/>
  <c r="C200" i="8" s="1"/>
  <c r="D205" i="10" s="1"/>
  <c r="F200" i="8"/>
  <c r="I200" i="8" s="1"/>
  <c r="J200" i="8" s="1"/>
  <c r="D129" i="7"/>
  <c r="E129" i="7"/>
  <c r="G170" i="1" s="1"/>
  <c r="O170" i="1" s="1"/>
  <c r="B201" i="8" l="1"/>
  <c r="G201" i="8" s="1"/>
  <c r="E205" i="10"/>
  <c r="P170" i="1"/>
  <c r="F171" i="1" s="1"/>
  <c r="L171" i="1" s="1"/>
  <c r="F201" i="8" l="1"/>
  <c r="I201" i="8" s="1"/>
  <c r="J201" i="8" s="1"/>
  <c r="C206" i="10"/>
  <c r="D201" i="8"/>
  <c r="C201" i="8" s="1"/>
  <c r="D206" i="10" s="1"/>
  <c r="E206" i="10" s="1"/>
  <c r="B130" i="7"/>
  <c r="D130" i="7" s="1"/>
  <c r="J171" i="1"/>
  <c r="Q171" i="1"/>
  <c r="H171" i="1"/>
  <c r="I171" i="1" s="1"/>
  <c r="B202" i="8" l="1"/>
  <c r="D202" i="8" s="1"/>
  <c r="C202" i="8" s="1"/>
  <c r="D207" i="10" s="1"/>
  <c r="E130" i="7"/>
  <c r="G171" i="1" s="1"/>
  <c r="P171" i="1" l="1"/>
  <c r="F172" i="1" s="1"/>
  <c r="L172" i="1" s="1"/>
  <c r="O171" i="1"/>
  <c r="B203" i="8"/>
  <c r="G203" i="8" s="1"/>
  <c r="G202" i="8"/>
  <c r="C207" i="10"/>
  <c r="E207" i="10" s="1"/>
  <c r="F202" i="8"/>
  <c r="J172" i="1"/>
  <c r="H172" i="1"/>
  <c r="I172" i="1" s="1"/>
  <c r="B131" i="7"/>
  <c r="Q172" i="1" l="1"/>
  <c r="C208" i="10"/>
  <c r="D203" i="8"/>
  <c r="C203" i="8" s="1"/>
  <c r="D208" i="10" s="1"/>
  <c r="E208" i="10" s="1"/>
  <c r="F203" i="8"/>
  <c r="I203" i="8" s="1"/>
  <c r="J203" i="8" s="1"/>
  <c r="I202" i="8"/>
  <c r="J202" i="8" s="1"/>
  <c r="D131" i="7"/>
  <c r="E131" i="7"/>
  <c r="B204" i="8" l="1"/>
  <c r="F204" i="8" s="1"/>
  <c r="G172" i="1"/>
  <c r="O172" i="1" s="1"/>
  <c r="G204" i="8" l="1"/>
  <c r="I204" i="8" s="1"/>
  <c r="J204" i="8" s="1"/>
  <c r="C209" i="10"/>
  <c r="D204" i="8"/>
  <c r="C204" i="8" s="1"/>
  <c r="D209" i="10" s="1"/>
  <c r="P172" i="1"/>
  <c r="F173" i="1" s="1"/>
  <c r="H173" i="1" l="1"/>
  <c r="I173" i="1" s="1"/>
  <c r="L173" i="1"/>
  <c r="E209" i="10"/>
  <c r="B205" i="8"/>
  <c r="G205" i="8" s="1"/>
  <c r="Q173" i="1"/>
  <c r="B132" i="7"/>
  <c r="J173" i="1"/>
  <c r="C210" i="10" l="1"/>
  <c r="F205" i="8"/>
  <c r="I205" i="8" s="1"/>
  <c r="J205" i="8" s="1"/>
  <c r="D205" i="8"/>
  <c r="C205" i="8" s="1"/>
  <c r="D210" i="10" s="1"/>
  <c r="E210" i="10" s="1"/>
  <c r="E132" i="7"/>
  <c r="G173" i="1" s="1"/>
  <c r="O173" i="1" s="1"/>
  <c r="D132" i="7"/>
  <c r="B206" i="8" l="1"/>
  <c r="F206" i="8" s="1"/>
  <c r="P173" i="1"/>
  <c r="F174" i="1" s="1"/>
  <c r="J174" i="1" l="1"/>
  <c r="L174" i="1"/>
  <c r="C211" i="10"/>
  <c r="G206" i="8"/>
  <c r="I206" i="8" s="1"/>
  <c r="J206" i="8" s="1"/>
  <c r="D206" i="8"/>
  <c r="C206" i="8" s="1"/>
  <c r="D211" i="10" s="1"/>
  <c r="B133" i="7"/>
  <c r="E133" i="7" s="1"/>
  <c r="Q174" i="1"/>
  <c r="H174" i="1"/>
  <c r="I174" i="1" s="1"/>
  <c r="E211" i="10" l="1"/>
  <c r="D133" i="7"/>
  <c r="G174" i="1" s="1"/>
  <c r="B207" i="8"/>
  <c r="C212" i="10" s="1"/>
  <c r="O174" i="1" l="1"/>
  <c r="P174" i="1"/>
  <c r="F175" i="1" s="1"/>
  <c r="L175" i="1" s="1"/>
  <c r="F207" i="8"/>
  <c r="D207" i="8"/>
  <c r="C207" i="8" s="1"/>
  <c r="D212" i="10" s="1"/>
  <c r="E212" i="10" s="1"/>
  <c r="G207" i="8"/>
  <c r="B134" i="7"/>
  <c r="H175" i="1" l="1"/>
  <c r="I175" i="1" s="1"/>
  <c r="Q175" i="1"/>
  <c r="J175" i="1"/>
  <c r="B208" i="8"/>
  <c r="G208" i="8" s="1"/>
  <c r="I207" i="8"/>
  <c r="J207" i="8" s="1"/>
  <c r="E134" i="7"/>
  <c r="D134" i="7"/>
  <c r="C213" i="10" l="1"/>
  <c r="D208" i="8"/>
  <c r="C208" i="8" s="1"/>
  <c r="D213" i="10" s="1"/>
  <c r="E213" i="10" s="1"/>
  <c r="F208" i="8"/>
  <c r="I208" i="8" s="1"/>
  <c r="J208" i="8" s="1"/>
  <c r="B209" i="8"/>
  <c r="G175" i="1"/>
  <c r="O175" i="1" s="1"/>
  <c r="G209" i="8" l="1"/>
  <c r="C214" i="10"/>
  <c r="F209" i="8"/>
  <c r="D209" i="8"/>
  <c r="C209" i="8" s="1"/>
  <c r="D214" i="10" s="1"/>
  <c r="P175" i="1"/>
  <c r="F176" i="1" s="1"/>
  <c r="B135" i="7" l="1"/>
  <c r="L176" i="1"/>
  <c r="I209" i="8"/>
  <c r="J209" i="8" s="1"/>
  <c r="B210" i="8"/>
  <c r="G210" i="8" s="1"/>
  <c r="E214" i="10"/>
  <c r="H176" i="1"/>
  <c r="I176" i="1" s="1"/>
  <c r="E135" i="7"/>
  <c r="G176" i="1" s="1"/>
  <c r="D135" i="7"/>
  <c r="J176" i="1"/>
  <c r="Q176" i="1"/>
  <c r="O176" i="1" l="1"/>
  <c r="D210" i="8"/>
  <c r="C210" i="8" s="1"/>
  <c r="D215" i="10" s="1"/>
  <c r="F210" i="8"/>
  <c r="I210" i="8" s="1"/>
  <c r="J210" i="8" s="1"/>
  <c r="C215" i="10"/>
  <c r="P176" i="1"/>
  <c r="F177" i="1" s="1"/>
  <c r="L177" i="1" s="1"/>
  <c r="B211" i="8" l="1"/>
  <c r="G211" i="8" s="1"/>
  <c r="E215" i="10"/>
  <c r="D211" i="8"/>
  <c r="C211" i="8" s="1"/>
  <c r="D216" i="10" s="1"/>
  <c r="J177" i="1"/>
  <c r="H177" i="1"/>
  <c r="I177" i="1" s="1"/>
  <c r="Q177" i="1"/>
  <c r="B136" i="7"/>
  <c r="C216" i="10" l="1"/>
  <c r="E216" i="10" s="1"/>
  <c r="F211" i="8"/>
  <c r="B212" i="8"/>
  <c r="G212" i="8" s="1"/>
  <c r="I211" i="8"/>
  <c r="J211" i="8" s="1"/>
  <c r="E136" i="7"/>
  <c r="D136" i="7"/>
  <c r="D212" i="8" l="1"/>
  <c r="C212" i="8" s="1"/>
  <c r="D217" i="10" s="1"/>
  <c r="F212" i="8"/>
  <c r="I212" i="8" s="1"/>
  <c r="J212" i="8" s="1"/>
  <c r="C217" i="10"/>
  <c r="G177" i="1"/>
  <c r="O177" i="1" s="1"/>
  <c r="B213" i="8" l="1"/>
  <c r="E217" i="10"/>
  <c r="F213" i="8"/>
  <c r="D213" i="8"/>
  <c r="C213" i="8" s="1"/>
  <c r="D218" i="10" s="1"/>
  <c r="G213" i="8"/>
  <c r="C218" i="10"/>
  <c r="P177" i="1"/>
  <c r="F178" i="1" s="1"/>
  <c r="B137" i="7" l="1"/>
  <c r="L178" i="1"/>
  <c r="E218" i="10"/>
  <c r="B214" i="8"/>
  <c r="G214" i="8" s="1"/>
  <c r="I213" i="8"/>
  <c r="J213" i="8" s="1"/>
  <c r="E137" i="7"/>
  <c r="D137" i="7"/>
  <c r="J178" i="1"/>
  <c r="Q178" i="1"/>
  <c r="H178" i="1"/>
  <c r="I178" i="1" s="1"/>
  <c r="G178" i="1" l="1"/>
  <c r="O178" i="1" s="1"/>
  <c r="C219" i="10"/>
  <c r="F214" i="8"/>
  <c r="I214" i="8" s="1"/>
  <c r="J214" i="8" s="1"/>
  <c r="D214" i="8"/>
  <c r="C214" i="8" s="1"/>
  <c r="D219" i="10" s="1"/>
  <c r="P178" i="1" l="1"/>
  <c r="F179" i="1" s="1"/>
  <c r="L179" i="1" s="1"/>
  <c r="E219" i="10"/>
  <c r="B215" i="8"/>
  <c r="F215" i="8" s="1"/>
  <c r="H179" i="1"/>
  <c r="I179" i="1" s="1"/>
  <c r="B138" i="7"/>
  <c r="J179" i="1"/>
  <c r="Q179" i="1"/>
  <c r="G215" i="8" l="1"/>
  <c r="I215" i="8" s="1"/>
  <c r="J215" i="8" s="1"/>
  <c r="C220" i="10"/>
  <c r="D215" i="8"/>
  <c r="C215" i="8" s="1"/>
  <c r="D220" i="10" s="1"/>
  <c r="E220" i="10" s="1"/>
  <c r="E138" i="7"/>
  <c r="G179" i="1" s="1"/>
  <c r="O179" i="1" s="1"/>
  <c r="D138" i="7"/>
  <c r="B216" i="8" l="1"/>
  <c r="F216" i="8" s="1"/>
  <c r="P179" i="1"/>
  <c r="F180" i="1" s="1"/>
  <c r="L180" i="1" s="1"/>
  <c r="C221" i="10" l="1"/>
  <c r="G216" i="8"/>
  <c r="I216" i="8" s="1"/>
  <c r="J216" i="8" s="1"/>
  <c r="D216" i="8"/>
  <c r="C216" i="8" s="1"/>
  <c r="D221" i="10" s="1"/>
  <c r="H180" i="1"/>
  <c r="I180" i="1" s="1"/>
  <c r="J180" i="1"/>
  <c r="Q180" i="1"/>
  <c r="B139" i="7"/>
  <c r="E221" i="10" l="1"/>
  <c r="B217" i="8"/>
  <c r="G217" i="8" s="1"/>
  <c r="D139" i="7"/>
  <c r="E139" i="7"/>
  <c r="G180" i="1" s="1"/>
  <c r="O180" i="1" s="1"/>
  <c r="F217" i="8" l="1"/>
  <c r="I217" i="8" s="1"/>
  <c r="J217" i="8" s="1"/>
  <c r="D217" i="8"/>
  <c r="C217" i="8" s="1"/>
  <c r="D222" i="10" s="1"/>
  <c r="C222" i="10"/>
  <c r="P180" i="1"/>
  <c r="F181" i="1" s="1"/>
  <c r="L181" i="1" s="1"/>
  <c r="B218" i="8" l="1"/>
  <c r="G218" i="8" s="1"/>
  <c r="E222" i="10"/>
  <c r="F218" i="8"/>
  <c r="D218" i="8"/>
  <c r="C218" i="8" s="1"/>
  <c r="D223" i="10" s="1"/>
  <c r="Q181" i="1"/>
  <c r="H181" i="1"/>
  <c r="I181" i="1" s="1"/>
  <c r="B140" i="7"/>
  <c r="J181" i="1"/>
  <c r="C223" i="10" l="1"/>
  <c r="E223" i="10" s="1"/>
  <c r="I218" i="8"/>
  <c r="J218" i="8" s="1"/>
  <c r="B219" i="8"/>
  <c r="C224" i="10" s="1"/>
  <c r="E140" i="7"/>
  <c r="D140" i="7"/>
  <c r="G181" i="1" l="1"/>
  <c r="O181" i="1" s="1"/>
  <c r="F219" i="8"/>
  <c r="G219" i="8"/>
  <c r="D219" i="8"/>
  <c r="C219" i="8" s="1"/>
  <c r="P181" i="1" l="1"/>
  <c r="F182" i="1" s="1"/>
  <c r="L182" i="1" s="1"/>
  <c r="I219" i="8"/>
  <c r="J219" i="8" s="1"/>
  <c r="D224" i="10"/>
  <c r="E224" i="10" s="1"/>
  <c r="B220" i="8"/>
  <c r="H182" i="1"/>
  <c r="I182" i="1" s="1"/>
  <c r="Q182" i="1"/>
  <c r="J182" i="1" l="1"/>
  <c r="B141" i="7"/>
  <c r="G220" i="8"/>
  <c r="D220" i="8"/>
  <c r="C220" i="8" s="1"/>
  <c r="F220" i="8"/>
  <c r="C225" i="10"/>
  <c r="D141" i="7"/>
  <c r="E141" i="7"/>
  <c r="G182" i="1" s="1"/>
  <c r="O182" i="1" s="1"/>
  <c r="I220" i="8" l="1"/>
  <c r="J220" i="8" s="1"/>
  <c r="D225" i="10"/>
  <c r="E225" i="10" s="1"/>
  <c r="B221" i="8"/>
  <c r="P182" i="1"/>
  <c r="F183" i="1" s="1"/>
  <c r="L183" i="1" s="1"/>
  <c r="D221" i="8" l="1"/>
  <c r="C221" i="8" s="1"/>
  <c r="D226" i="10" s="1"/>
  <c r="G221" i="8"/>
  <c r="F221" i="8"/>
  <c r="C226" i="10"/>
  <c r="B142" i="7"/>
  <c r="Q183" i="1"/>
  <c r="J183" i="1"/>
  <c r="H183" i="1"/>
  <c r="I183" i="1" s="1"/>
  <c r="I221" i="8" l="1"/>
  <c r="J221" i="8" s="1"/>
  <c r="B222" i="8"/>
  <c r="E226" i="10"/>
  <c r="E142" i="7"/>
  <c r="G183" i="1" s="1"/>
  <c r="O183" i="1" s="1"/>
  <c r="D142" i="7"/>
  <c r="G222" i="8" l="1"/>
  <c r="D222" i="8"/>
  <c r="C222" i="8" s="1"/>
  <c r="D227" i="10" s="1"/>
  <c r="F222" i="8"/>
  <c r="C227" i="10"/>
  <c r="P183" i="1"/>
  <c r="F184" i="1" s="1"/>
  <c r="L184" i="1" s="1"/>
  <c r="I222" i="8" l="1"/>
  <c r="J222" i="8" s="1"/>
  <c r="B223" i="8"/>
  <c r="E227" i="10"/>
  <c r="H184" i="1"/>
  <c r="I184" i="1" s="1"/>
  <c r="Q184" i="1"/>
  <c r="B143" i="7"/>
  <c r="J184" i="1"/>
  <c r="G223" i="8" l="1"/>
  <c r="D223" i="8"/>
  <c r="C223" i="8" s="1"/>
  <c r="D228" i="10" s="1"/>
  <c r="F223" i="8"/>
  <c r="C228" i="10"/>
  <c r="E143" i="7"/>
  <c r="D143" i="7"/>
  <c r="I223" i="8" l="1"/>
  <c r="J223" i="8" s="1"/>
  <c r="E228" i="10"/>
  <c r="B224" i="8"/>
  <c r="C229" i="10" s="1"/>
  <c r="G184" i="1"/>
  <c r="O184" i="1" s="1"/>
  <c r="D224" i="8" l="1"/>
  <c r="C224" i="8" s="1"/>
  <c r="D229" i="10" s="1"/>
  <c r="E229" i="10" s="1"/>
  <c r="F224" i="8"/>
  <c r="G224" i="8"/>
  <c r="B225" i="8"/>
  <c r="P184" i="1"/>
  <c r="F185" i="1" s="1"/>
  <c r="Q185" i="1" l="1"/>
  <c r="L185" i="1"/>
  <c r="I224" i="8"/>
  <c r="J224" i="8" s="1"/>
  <c r="G225" i="8"/>
  <c r="C230" i="10"/>
  <c r="D225" i="8"/>
  <c r="C225" i="8" s="1"/>
  <c r="F225" i="8"/>
  <c r="B144" i="7"/>
  <c r="E144" i="7" s="1"/>
  <c r="J185" i="1"/>
  <c r="H185" i="1"/>
  <c r="I185" i="1" s="1"/>
  <c r="I225" i="8" l="1"/>
  <c r="J225" i="8" s="1"/>
  <c r="D230" i="10"/>
  <c r="E230" i="10" s="1"/>
  <c r="B226" i="8"/>
  <c r="D144" i="7"/>
  <c r="G185" i="1" s="1"/>
  <c r="O185" i="1" s="1"/>
  <c r="D226" i="8" l="1"/>
  <c r="C226" i="8" s="1"/>
  <c r="D231" i="10" s="1"/>
  <c r="F226" i="8"/>
  <c r="G226" i="8"/>
  <c r="C231" i="10"/>
  <c r="P185" i="1"/>
  <c r="F186" i="1" s="1"/>
  <c r="B145" i="7" l="1"/>
  <c r="L186" i="1"/>
  <c r="E231" i="10"/>
  <c r="I226" i="8"/>
  <c r="J226" i="8" s="1"/>
  <c r="B227" i="8"/>
  <c r="Q186" i="1"/>
  <c r="H186" i="1"/>
  <c r="I186" i="1" s="1"/>
  <c r="J186" i="1"/>
  <c r="D145" i="7"/>
  <c r="E145" i="7"/>
  <c r="G186" i="1" s="1"/>
  <c r="O186" i="1" l="1"/>
  <c r="D227" i="8"/>
  <c r="C227" i="8" s="1"/>
  <c r="G227" i="8"/>
  <c r="C232" i="10"/>
  <c r="F227" i="8"/>
  <c r="P186" i="1"/>
  <c r="F187" i="1" s="1"/>
  <c r="L187" i="1" s="1"/>
  <c r="I227" i="8" l="1"/>
  <c r="J227" i="8" s="1"/>
  <c r="B228" i="8"/>
  <c r="D232" i="10"/>
  <c r="E232" i="10" s="1"/>
  <c r="H187" i="1"/>
  <c r="I187" i="1" s="1"/>
  <c r="B146" i="7"/>
  <c r="J187" i="1"/>
  <c r="Q187" i="1"/>
  <c r="C233" i="10" l="1"/>
  <c r="G228" i="8"/>
  <c r="D228" i="8"/>
  <c r="C228" i="8" s="1"/>
  <c r="D233" i="10" s="1"/>
  <c r="E233" i="10" s="1"/>
  <c r="F228" i="8"/>
  <c r="E146" i="7"/>
  <c r="G187" i="1" s="1"/>
  <c r="O187" i="1" s="1"/>
  <c r="D146" i="7"/>
  <c r="I228" i="8" l="1"/>
  <c r="J228" i="8" s="1"/>
  <c r="B229" i="8"/>
  <c r="P187" i="1"/>
  <c r="F188" i="1" s="1"/>
  <c r="L188" i="1" s="1"/>
  <c r="F229" i="8" l="1"/>
  <c r="C234" i="10"/>
  <c r="G229" i="8"/>
  <c r="D229" i="8"/>
  <c r="C229" i="8" s="1"/>
  <c r="J188" i="1"/>
  <c r="B147" i="7"/>
  <c r="H188" i="1"/>
  <c r="I188" i="1" s="1"/>
  <c r="Q188" i="1"/>
  <c r="D234" i="10" l="1"/>
  <c r="E234" i="10" s="1"/>
  <c r="B230" i="8"/>
  <c r="I229" i="8"/>
  <c r="J229" i="8" s="1"/>
  <c r="D147" i="7"/>
  <c r="E147" i="7"/>
  <c r="G188" i="1" s="1"/>
  <c r="O188" i="1" s="1"/>
  <c r="F230" i="8" l="1"/>
  <c r="C235" i="10"/>
  <c r="D230" i="8"/>
  <c r="C230" i="8" s="1"/>
  <c r="G230" i="8"/>
  <c r="P188" i="1"/>
  <c r="F189" i="1" s="1"/>
  <c r="L189" i="1" s="1"/>
  <c r="I230" i="8" l="1"/>
  <c r="J230" i="8" s="1"/>
  <c r="D235" i="10"/>
  <c r="E235" i="10" s="1"/>
  <c r="B231" i="8"/>
  <c r="H189" i="1"/>
  <c r="I189" i="1" s="1"/>
  <c r="B148" i="7"/>
  <c r="Q189" i="1"/>
  <c r="J189" i="1"/>
  <c r="D231" i="8" l="1"/>
  <c r="C231" i="8" s="1"/>
  <c r="D236" i="10" s="1"/>
  <c r="C236" i="10"/>
  <c r="F231" i="8"/>
  <c r="G231" i="8"/>
  <c r="E148" i="7"/>
  <c r="G189" i="1" s="1"/>
  <c r="O189" i="1" s="1"/>
  <c r="D148" i="7"/>
  <c r="E236" i="10" l="1"/>
  <c r="B232" i="8"/>
  <c r="F232" i="8" s="1"/>
  <c r="I231" i="8"/>
  <c r="J231" i="8" s="1"/>
  <c r="P189" i="1"/>
  <c r="F190" i="1" s="1"/>
  <c r="L190" i="1" s="1"/>
  <c r="C237" i="10" l="1"/>
  <c r="D232" i="8"/>
  <c r="C232" i="8" s="1"/>
  <c r="D237" i="10" s="1"/>
  <c r="E237" i="10" s="1"/>
  <c r="G232" i="8"/>
  <c r="I232" i="8" s="1"/>
  <c r="J232" i="8" s="1"/>
  <c r="B149" i="7"/>
  <c r="H190" i="1"/>
  <c r="I190" i="1" s="1"/>
  <c r="Q190" i="1"/>
  <c r="J190" i="1"/>
  <c r="B233" i="8" l="1"/>
  <c r="D149" i="7"/>
  <c r="E149" i="7"/>
  <c r="G190" i="1" s="1"/>
  <c r="O190" i="1" s="1"/>
  <c r="C238" i="10" l="1"/>
  <c r="F233" i="8"/>
  <c r="G233" i="8"/>
  <c r="D233" i="8"/>
  <c r="C233" i="8" s="1"/>
  <c r="P190" i="1"/>
  <c r="F191" i="1" s="1"/>
  <c r="L191" i="1" s="1"/>
  <c r="D238" i="10" l="1"/>
  <c r="B234" i="8"/>
  <c r="I233" i="8"/>
  <c r="J233" i="8" s="1"/>
  <c r="E238" i="10"/>
  <c r="H191" i="1"/>
  <c r="I191" i="1" s="1"/>
  <c r="B150" i="7"/>
  <c r="Q191" i="1"/>
  <c r="J191" i="1"/>
  <c r="C239" i="10" l="1"/>
  <c r="G234" i="8"/>
  <c r="D234" i="8"/>
  <c r="C234" i="8" s="1"/>
  <c r="F234" i="8"/>
  <c r="E150" i="7"/>
  <c r="D150" i="7"/>
  <c r="G191" i="1" l="1"/>
  <c r="O191" i="1" s="1"/>
  <c r="I234" i="8"/>
  <c r="J234" i="8" s="1"/>
  <c r="D239" i="10"/>
  <c r="E239" i="10" s="1"/>
  <c r="B235" i="8"/>
  <c r="P191" i="1" l="1"/>
  <c r="F192" i="1" s="1"/>
  <c r="L192" i="1" s="1"/>
  <c r="C240" i="10"/>
  <c r="F235" i="8"/>
  <c r="D235" i="8"/>
  <c r="C235" i="8" s="1"/>
  <c r="G235" i="8"/>
  <c r="B151" i="7"/>
  <c r="H192" i="1"/>
  <c r="I192" i="1" s="1"/>
  <c r="Q192" i="1"/>
  <c r="J192" i="1"/>
  <c r="B236" i="8" l="1"/>
  <c r="D240" i="10"/>
  <c r="E240" i="10" s="1"/>
  <c r="I235" i="8"/>
  <c r="J235" i="8" s="1"/>
  <c r="E151" i="7"/>
  <c r="G192" i="1" s="1"/>
  <c r="O192" i="1" s="1"/>
  <c r="D151" i="7"/>
  <c r="F236" i="8" l="1"/>
  <c r="C241" i="10"/>
  <c r="D236" i="8"/>
  <c r="C236" i="8" s="1"/>
  <c r="D241" i="10" s="1"/>
  <c r="E241" i="10" s="1"/>
  <c r="G236" i="8"/>
  <c r="P192" i="1"/>
  <c r="F193" i="1" s="1"/>
  <c r="L193" i="1" s="1"/>
  <c r="B237" i="8" l="1"/>
  <c r="D237" i="8" s="1"/>
  <c r="C237" i="8" s="1"/>
  <c r="D242" i="10" s="1"/>
  <c r="I236" i="8"/>
  <c r="J236" i="8" s="1"/>
  <c r="J193" i="1"/>
  <c r="H193" i="1"/>
  <c r="I193" i="1" s="1"/>
  <c r="B152" i="7"/>
  <c r="Q193" i="1"/>
  <c r="F237" i="8" l="1"/>
  <c r="G237" i="8"/>
  <c r="C242" i="10"/>
  <c r="E242" i="10" s="1"/>
  <c r="B238" i="8"/>
  <c r="E152" i="7"/>
  <c r="D152" i="7"/>
  <c r="I237" i="8" l="1"/>
  <c r="J237" i="8" s="1"/>
  <c r="C243" i="10"/>
  <c r="D238" i="8"/>
  <c r="C238" i="8" s="1"/>
  <c r="F238" i="8"/>
  <c r="G238" i="8"/>
  <c r="G193" i="1"/>
  <c r="O193" i="1" s="1"/>
  <c r="I238" i="8" l="1"/>
  <c r="J238" i="8" s="1"/>
  <c r="D243" i="10"/>
  <c r="E243" i="10" s="1"/>
  <c r="B239" i="8"/>
  <c r="P193" i="1"/>
  <c r="F194" i="1" s="1"/>
  <c r="J194" i="1" l="1"/>
  <c r="L194" i="1"/>
  <c r="F239" i="8"/>
  <c r="D239" i="8"/>
  <c r="C239" i="8" s="1"/>
  <c r="G239" i="8"/>
  <c r="C244" i="10"/>
  <c r="H194" i="1"/>
  <c r="I194" i="1" s="1"/>
  <c r="Q194" i="1"/>
  <c r="B153" i="7"/>
  <c r="D153" i="7" s="1"/>
  <c r="B240" i="8" l="1"/>
  <c r="D244" i="10"/>
  <c r="E244" i="10" s="1"/>
  <c r="I239" i="8"/>
  <c r="J239" i="8" s="1"/>
  <c r="E153" i="7"/>
  <c r="G194" i="1" s="1"/>
  <c r="P194" i="1" l="1"/>
  <c r="F195" i="1" s="1"/>
  <c r="L195" i="1" s="1"/>
  <c r="O194" i="1"/>
  <c r="F240" i="8"/>
  <c r="G240" i="8"/>
  <c r="C245" i="10"/>
  <c r="D240" i="8"/>
  <c r="C240" i="8" s="1"/>
  <c r="B154" i="7"/>
  <c r="J195" i="1" l="1"/>
  <c r="Q195" i="1"/>
  <c r="H195" i="1"/>
  <c r="I195" i="1" s="1"/>
  <c r="B241" i="8"/>
  <c r="D245" i="10"/>
  <c r="E245" i="10" s="1"/>
  <c r="I240" i="8"/>
  <c r="J240" i="8" s="1"/>
  <c r="E154" i="7"/>
  <c r="D154" i="7"/>
  <c r="G195" i="1" l="1"/>
  <c r="O195" i="1" s="1"/>
  <c r="D241" i="8"/>
  <c r="C241" i="8" s="1"/>
  <c r="G241" i="8"/>
  <c r="C246" i="10"/>
  <c r="F241" i="8"/>
  <c r="P195" i="1" l="1"/>
  <c r="F196" i="1" s="1"/>
  <c r="L196" i="1" s="1"/>
  <c r="I241" i="8"/>
  <c r="J241" i="8" s="1"/>
  <c r="D246" i="10"/>
  <c r="E246" i="10" s="1"/>
  <c r="B242" i="8"/>
  <c r="B155" i="7"/>
  <c r="Q196" i="1"/>
  <c r="J196" i="1"/>
  <c r="H196" i="1"/>
  <c r="I196" i="1" s="1"/>
  <c r="G242" i="8" l="1"/>
  <c r="D242" i="8"/>
  <c r="C242" i="8" s="1"/>
  <c r="F242" i="8"/>
  <c r="C247" i="10"/>
  <c r="D155" i="7"/>
  <c r="E155" i="7"/>
  <c r="G196" i="1" s="1"/>
  <c r="O196" i="1" s="1"/>
  <c r="I242" i="8" l="1"/>
  <c r="J242" i="8" s="1"/>
  <c r="D247" i="10"/>
  <c r="E247" i="10" s="1"/>
  <c r="B243" i="8"/>
  <c r="P196" i="1"/>
  <c r="F197" i="1" s="1"/>
  <c r="L197" i="1" s="1"/>
  <c r="F243" i="8" l="1"/>
  <c r="D243" i="8"/>
  <c r="C243" i="8" s="1"/>
  <c r="G243" i="8"/>
  <c r="C248" i="10"/>
  <c r="J197" i="1"/>
  <c r="B156" i="7"/>
  <c r="H197" i="1"/>
  <c r="I197" i="1" s="1"/>
  <c r="Q197" i="1"/>
  <c r="B244" i="8" l="1"/>
  <c r="D248" i="10"/>
  <c r="E248" i="10" s="1"/>
  <c r="I243" i="8"/>
  <c r="J243" i="8" s="1"/>
  <c r="E156" i="7"/>
  <c r="G197" i="1" s="1"/>
  <c r="O197" i="1" s="1"/>
  <c r="D156" i="7"/>
  <c r="D244" i="8" l="1"/>
  <c r="C244" i="8" s="1"/>
  <c r="F244" i="8"/>
  <c r="G244" i="8"/>
  <c r="C249" i="10"/>
  <c r="P197" i="1"/>
  <c r="F198" i="1" s="1"/>
  <c r="L198" i="1" s="1"/>
  <c r="I244" i="8" l="1"/>
  <c r="J244" i="8" s="1"/>
  <c r="D249" i="10"/>
  <c r="E249" i="10" s="1"/>
  <c r="B245" i="8"/>
  <c r="H198" i="1"/>
  <c r="I198" i="1" s="1"/>
  <c r="B157" i="7"/>
  <c r="Q198" i="1"/>
  <c r="J198" i="1"/>
  <c r="G245" i="8" l="1"/>
  <c r="C250" i="10"/>
  <c r="F245" i="8"/>
  <c r="D245" i="8"/>
  <c r="C245" i="8" s="1"/>
  <c r="D157" i="7"/>
  <c r="E157" i="7"/>
  <c r="G198" i="1" s="1"/>
  <c r="O198" i="1" s="1"/>
  <c r="I245" i="8" l="1"/>
  <c r="J245" i="8" s="1"/>
  <c r="B246" i="8"/>
  <c r="D250" i="10"/>
  <c r="E250" i="10" s="1"/>
  <c r="P198" i="1"/>
  <c r="F199" i="1" s="1"/>
  <c r="Q199" i="1" l="1"/>
  <c r="L199" i="1"/>
  <c r="G246" i="8"/>
  <c r="D246" i="8"/>
  <c r="C246" i="8" s="1"/>
  <c r="D251" i="10" s="1"/>
  <c r="F246" i="8"/>
  <c r="C251" i="10"/>
  <c r="B158" i="7"/>
  <c r="D158" i="7" s="1"/>
  <c r="H199" i="1"/>
  <c r="I199" i="1" s="1"/>
  <c r="J199" i="1"/>
  <c r="I246" i="8" l="1"/>
  <c r="J246" i="8" s="1"/>
  <c r="K6" i="8" s="1"/>
  <c r="K7" i="8" s="1"/>
  <c r="K8" i="8" s="1"/>
  <c r="D41" i="1" s="1"/>
  <c r="D16" i="11" s="1"/>
  <c r="E251" i="10"/>
  <c r="E158" i="7"/>
  <c r="G199" i="1" s="1"/>
  <c r="O199" i="1" s="1"/>
  <c r="P199" i="1" l="1"/>
  <c r="F200" i="1" s="1"/>
  <c r="B159" i="7" l="1"/>
  <c r="E159" i="7" s="1"/>
  <c r="L200" i="1"/>
  <c r="J200" i="1"/>
  <c r="Q200" i="1"/>
  <c r="D159" i="7"/>
  <c r="G200" i="1" s="1"/>
  <c r="H200" i="1"/>
  <c r="I200" i="1" s="1"/>
  <c r="P200" i="1" l="1"/>
  <c r="F201" i="1" s="1"/>
  <c r="L201" i="1" s="1"/>
  <c r="O200" i="1"/>
  <c r="B160" i="7" l="1"/>
  <c r="E160" i="7" s="1"/>
  <c r="H201" i="1"/>
  <c r="I201" i="1" s="1"/>
  <c r="Q201" i="1"/>
  <c r="J201" i="1"/>
  <c r="D160" i="7" l="1"/>
  <c r="G201" i="1" s="1"/>
  <c r="O201" i="1" s="1"/>
  <c r="P201" i="1" l="1"/>
  <c r="F202" i="1" s="1"/>
  <c r="Q202" i="1" s="1"/>
  <c r="J202" i="1" l="1"/>
  <c r="H202" i="1"/>
  <c r="I202" i="1" s="1"/>
  <c r="B161" i="7"/>
  <c r="L202" i="1"/>
  <c r="E161" i="7" l="1"/>
  <c r="D161" i="7"/>
  <c r="G202" i="1" s="1"/>
  <c r="O202" i="1" s="1"/>
  <c r="P202" i="1" l="1"/>
  <c r="F203" i="1" s="1"/>
  <c r="L203" i="1" l="1"/>
  <c r="J203" i="1"/>
  <c r="B162" i="7"/>
  <c r="H203" i="1"/>
  <c r="I203" i="1" s="1"/>
  <c r="Q203" i="1"/>
  <c r="E162" i="7" l="1"/>
  <c r="D162" i="7"/>
  <c r="G203" i="1" s="1"/>
  <c r="P203" i="1" s="1"/>
  <c r="F204" i="1" s="1"/>
  <c r="L204" i="1" l="1"/>
  <c r="J204" i="1"/>
  <c r="H204" i="1"/>
  <c r="I204" i="1" s="1"/>
  <c r="B163" i="7"/>
  <c r="Q204" i="1"/>
  <c r="O203" i="1"/>
  <c r="D163" i="7"/>
  <c r="E163" i="7"/>
  <c r="G204" i="1" s="1"/>
  <c r="O204" i="1" s="1"/>
  <c r="P204" i="1" l="1"/>
  <c r="F205" i="1" s="1"/>
  <c r="J205" i="1" l="1"/>
  <c r="L205" i="1"/>
  <c r="H205" i="1"/>
  <c r="I205" i="1" s="1"/>
  <c r="B164" i="7"/>
  <c r="Q205" i="1"/>
  <c r="E164" i="7" l="1"/>
  <c r="D164" i="7"/>
  <c r="G205" i="1" l="1"/>
  <c r="O205" i="1" s="1"/>
  <c r="P205" i="1" l="1"/>
  <c r="F206" i="1" s="1"/>
  <c r="Q206" i="1" l="1"/>
  <c r="L206" i="1"/>
  <c r="J206" i="1"/>
  <c r="H206" i="1"/>
  <c r="I206" i="1" s="1"/>
  <c r="B165" i="7"/>
  <c r="E165" i="7" l="1"/>
  <c r="G206" i="1" s="1"/>
  <c r="O206" i="1" s="1"/>
  <c r="D165" i="7"/>
  <c r="P206" i="1" l="1"/>
  <c r="F207" i="1" s="1"/>
  <c r="L207" i="1" s="1"/>
  <c r="Q207" i="1" l="1"/>
  <c r="H207" i="1"/>
  <c r="I207" i="1" s="1"/>
  <c r="J207" i="1"/>
  <c r="B166" i="7"/>
  <c r="D166" i="7" l="1"/>
  <c r="E166" i="7"/>
  <c r="G207" i="1" l="1"/>
  <c r="O207" i="1" s="1"/>
  <c r="P207" i="1" l="1"/>
  <c r="F208" i="1" s="1"/>
  <c r="L208" i="1" s="1"/>
  <c r="J208" i="1"/>
  <c r="H208" i="1"/>
  <c r="I208" i="1" s="1"/>
  <c r="B167" i="7" l="1"/>
  <c r="Q208" i="1"/>
  <c r="E167" i="7"/>
  <c r="G208" i="1" s="1"/>
  <c r="O208" i="1" s="1"/>
  <c r="D167" i="7"/>
  <c r="P208" i="1" l="1"/>
  <c r="F209" i="1" s="1"/>
  <c r="L209" i="1" s="1"/>
  <c r="B168" i="7" l="1"/>
  <c r="J209" i="1"/>
  <c r="H209" i="1"/>
  <c r="I209" i="1" s="1"/>
  <c r="Q209" i="1"/>
  <c r="E168" i="7" l="1"/>
  <c r="G209" i="1" s="1"/>
  <c r="O209" i="1" s="1"/>
  <c r="D168" i="7"/>
  <c r="P209" i="1" l="1"/>
  <c r="F210" i="1" s="1"/>
  <c r="L210" i="1" s="1"/>
  <c r="Q210" i="1" l="1"/>
  <c r="J210" i="1"/>
  <c r="B169" i="7"/>
  <c r="H210" i="1"/>
  <c r="I210" i="1" s="1"/>
  <c r="E169" i="7" l="1"/>
  <c r="G210" i="1" s="1"/>
  <c r="O210" i="1" s="1"/>
  <c r="D169" i="7"/>
  <c r="P210" i="1" l="1"/>
  <c r="F211" i="1" s="1"/>
  <c r="L211" i="1" s="1"/>
  <c r="Q211" i="1" l="1"/>
  <c r="B170" i="7"/>
  <c r="J211" i="1"/>
  <c r="H211" i="1"/>
  <c r="I211" i="1" s="1"/>
  <c r="D170" i="7" l="1"/>
  <c r="E170" i="7"/>
  <c r="G211" i="1" s="1"/>
  <c r="O211" i="1" s="1"/>
  <c r="P211" i="1" l="1"/>
  <c r="F212" i="1" s="1"/>
  <c r="L212" i="1" s="1"/>
  <c r="B171" i="7" l="1"/>
  <c r="H212" i="1"/>
  <c r="I212" i="1" s="1"/>
  <c r="J212" i="1"/>
  <c r="Q212" i="1"/>
  <c r="D171" i="7" l="1"/>
  <c r="E171" i="7"/>
  <c r="G212" i="1" s="1"/>
  <c r="O212" i="1" s="1"/>
  <c r="P212" i="1" l="1"/>
  <c r="F213" i="1" s="1"/>
  <c r="L213" i="1" s="1"/>
  <c r="Q213" i="1" l="1"/>
  <c r="H213" i="1"/>
  <c r="I213" i="1" s="1"/>
  <c r="J213" i="1"/>
  <c r="B172" i="7"/>
  <c r="D172" i="7" l="1"/>
  <c r="E172" i="7"/>
  <c r="G213" i="1" s="1"/>
  <c r="O213" i="1" s="1"/>
  <c r="P213" i="1" l="1"/>
  <c r="F214" i="1" s="1"/>
  <c r="L214" i="1" s="1"/>
  <c r="B173" i="7" l="1"/>
  <c r="Q214" i="1"/>
  <c r="H214" i="1"/>
  <c r="I214" i="1" s="1"/>
  <c r="J214" i="1"/>
  <c r="D173" i="7" l="1"/>
  <c r="E173" i="7"/>
  <c r="G214" i="1" s="1"/>
  <c r="O214" i="1" s="1"/>
  <c r="P214" i="1" l="1"/>
  <c r="F215" i="1" s="1"/>
  <c r="L215" i="1" s="1"/>
  <c r="H215" i="1" l="1"/>
  <c r="I215" i="1" s="1"/>
  <c r="B174" i="7"/>
  <c r="J215" i="1"/>
  <c r="Q215" i="1"/>
  <c r="E174" i="7" l="1"/>
  <c r="D174" i="7"/>
  <c r="G215" i="1" l="1"/>
  <c r="O215" i="1" s="1"/>
  <c r="P215" i="1" l="1"/>
  <c r="F216" i="1" s="1"/>
  <c r="L216" i="1" s="1"/>
  <c r="J216" i="1"/>
  <c r="Q216" i="1" l="1"/>
  <c r="B175" i="7"/>
  <c r="H216" i="1"/>
  <c r="I216" i="1" s="1"/>
  <c r="E175" i="7"/>
  <c r="G216" i="1" s="1"/>
  <c r="O216" i="1" s="1"/>
  <c r="D175" i="7"/>
  <c r="P216" i="1" l="1"/>
  <c r="F217" i="1" s="1"/>
  <c r="L217" i="1" s="1"/>
  <c r="H217" i="1" l="1"/>
  <c r="I217" i="1" s="1"/>
  <c r="B176" i="7"/>
  <c r="Q217" i="1"/>
  <c r="J217" i="1"/>
  <c r="D176" i="7" l="1"/>
  <c r="E176" i="7"/>
  <c r="G217" i="1" s="1"/>
  <c r="O217" i="1" s="1"/>
  <c r="P217" i="1" l="1"/>
  <c r="F218" i="1" s="1"/>
  <c r="L218" i="1" s="1"/>
  <c r="J218" i="1" l="1"/>
  <c r="Q218" i="1"/>
  <c r="H218" i="1"/>
  <c r="I218" i="1" s="1"/>
  <c r="B177" i="7"/>
  <c r="D177" i="7" l="1"/>
  <c r="E177" i="7"/>
  <c r="G218" i="1" s="1"/>
  <c r="O218" i="1" s="1"/>
  <c r="P218" i="1" l="1"/>
  <c r="F219" i="1" s="1"/>
  <c r="L219" i="1" s="1"/>
  <c r="B178" i="7" l="1"/>
  <c r="H219" i="1"/>
  <c r="I219" i="1" s="1"/>
  <c r="Q219" i="1"/>
  <c r="J219" i="1"/>
  <c r="E178" i="7" l="1"/>
  <c r="G219" i="1" s="1"/>
  <c r="O219" i="1" s="1"/>
  <c r="D178" i="7"/>
  <c r="P219" i="1" l="1"/>
  <c r="F220" i="1" s="1"/>
  <c r="L220" i="1" s="1"/>
  <c r="J220" i="1" l="1"/>
  <c r="H220" i="1"/>
  <c r="I220" i="1" s="1"/>
  <c r="Q220" i="1"/>
  <c r="B179" i="7"/>
  <c r="D179" i="7" l="1"/>
  <c r="E179" i="7"/>
  <c r="G220" i="1" s="1"/>
  <c r="O220" i="1" s="1"/>
  <c r="P220" i="1" l="1"/>
  <c r="F221" i="1" s="1"/>
  <c r="L221" i="1" s="1"/>
  <c r="Q221" i="1" l="1"/>
  <c r="H221" i="1"/>
  <c r="I221" i="1" s="1"/>
  <c r="J221" i="1"/>
  <c r="B180" i="7"/>
  <c r="E180" i="7" l="1"/>
  <c r="D180" i="7"/>
  <c r="G221" i="1" l="1"/>
  <c r="O221" i="1" s="1"/>
  <c r="P221" i="1" l="1"/>
  <c r="F222" i="1" s="1"/>
  <c r="L222" i="1" s="1"/>
  <c r="Q222" i="1"/>
  <c r="B181" i="7"/>
  <c r="J222" i="1"/>
  <c r="H222" i="1" l="1"/>
  <c r="I222" i="1" s="1"/>
  <c r="D181" i="7"/>
  <c r="E181" i="7"/>
  <c r="G222" i="1" s="1"/>
  <c r="O222" i="1" s="1"/>
  <c r="P222" i="1" l="1"/>
  <c r="F223" i="1" s="1"/>
  <c r="L223" i="1" s="1"/>
  <c r="B182" i="7" l="1"/>
  <c r="H223" i="1"/>
  <c r="I223" i="1" s="1"/>
  <c r="J223" i="1"/>
  <c r="Q223" i="1"/>
  <c r="E182" i="7" l="1"/>
  <c r="D182" i="7"/>
  <c r="G223" i="1" l="1"/>
  <c r="O223" i="1" s="1"/>
  <c r="P223" i="1" l="1"/>
  <c r="F224" i="1" s="1"/>
  <c r="L224" i="1" s="1"/>
  <c r="Q224" i="1"/>
  <c r="B183" i="7"/>
  <c r="J224" i="1"/>
  <c r="H224" i="1" l="1"/>
  <c r="I224" i="1" s="1"/>
  <c r="D183" i="7"/>
  <c r="E183" i="7"/>
  <c r="G224" i="1" s="1"/>
  <c r="O224" i="1" s="1"/>
  <c r="P224" i="1" l="1"/>
  <c r="F225" i="1" s="1"/>
  <c r="L225" i="1" s="1"/>
  <c r="Q225" i="1" l="1"/>
  <c r="H225" i="1"/>
  <c r="I225" i="1" s="1"/>
  <c r="J225" i="1"/>
  <c r="B184" i="7"/>
  <c r="D184" i="7" l="1"/>
  <c r="E184" i="7"/>
  <c r="G225" i="1" s="1"/>
  <c r="O225" i="1" s="1"/>
  <c r="P225" i="1" l="1"/>
  <c r="F226" i="1" s="1"/>
  <c r="L226" i="1" s="1"/>
  <c r="Q226" i="1" l="1"/>
  <c r="J226" i="1"/>
  <c r="B185" i="7"/>
  <c r="H226" i="1"/>
  <c r="I226" i="1" s="1"/>
  <c r="E185" i="7" l="1"/>
  <c r="D185" i="7"/>
  <c r="G226" i="1" l="1"/>
  <c r="O226" i="1" s="1"/>
  <c r="P226" i="1" l="1"/>
  <c r="F227" i="1" s="1"/>
  <c r="L227" i="1" s="1"/>
  <c r="B186" i="7" l="1"/>
  <c r="E186" i="7" s="1"/>
  <c r="J227" i="1"/>
  <c r="Q227" i="1"/>
  <c r="H227" i="1"/>
  <c r="I227" i="1" s="1"/>
  <c r="D186" i="7"/>
  <c r="G227" i="1" l="1"/>
  <c r="O227" i="1" s="1"/>
  <c r="P227" i="1" l="1"/>
  <c r="F228" i="1" s="1"/>
  <c r="L228" i="1" s="1"/>
  <c r="J228" i="1" l="1"/>
  <c r="H228" i="1"/>
  <c r="I228" i="1" s="1"/>
  <c r="Q228" i="1"/>
  <c r="B187" i="7"/>
  <c r="D187" i="7"/>
  <c r="E187" i="7"/>
  <c r="G228" i="1" s="1"/>
  <c r="O228" i="1" s="1"/>
  <c r="P228" i="1" l="1"/>
  <c r="F229" i="1" s="1"/>
  <c r="L229" i="1" s="1"/>
  <c r="B188" i="7" l="1"/>
  <c r="H229" i="1"/>
  <c r="I229" i="1" s="1"/>
  <c r="Q229" i="1"/>
  <c r="J229" i="1"/>
  <c r="D188" i="7" l="1"/>
  <c r="E188" i="7"/>
  <c r="G229" i="1" s="1"/>
  <c r="O229" i="1" s="1"/>
  <c r="P229" i="1" l="1"/>
  <c r="F230" i="1" s="1"/>
  <c r="L230" i="1" s="1"/>
  <c r="Q230" i="1" l="1"/>
  <c r="J230" i="1"/>
  <c r="B189" i="7"/>
  <c r="H230" i="1"/>
  <c r="I230" i="1" s="1"/>
  <c r="D189" i="7" l="1"/>
  <c r="E189" i="7"/>
  <c r="G230" i="1" s="1"/>
  <c r="O230" i="1" s="1"/>
  <c r="P230" i="1" l="1"/>
  <c r="F231" i="1" s="1"/>
  <c r="L231" i="1" s="1"/>
  <c r="Q231" i="1" l="1"/>
  <c r="B190" i="7"/>
  <c r="H231" i="1"/>
  <c r="I231" i="1" s="1"/>
  <c r="J231" i="1"/>
  <c r="D190" i="7" l="1"/>
  <c r="E190" i="7"/>
  <c r="G231" i="1" s="1"/>
  <c r="O231" i="1" s="1"/>
  <c r="P231" i="1" l="1"/>
  <c r="F232" i="1" s="1"/>
  <c r="L232" i="1" s="1"/>
  <c r="Q232" i="1" l="1"/>
  <c r="J232" i="1"/>
  <c r="H232" i="1"/>
  <c r="I232" i="1" s="1"/>
  <c r="B191" i="7"/>
  <c r="E191" i="7" l="1"/>
  <c r="G232" i="1" s="1"/>
  <c r="O232" i="1" s="1"/>
  <c r="D191" i="7"/>
  <c r="P232" i="1" l="1"/>
  <c r="F233" i="1" s="1"/>
  <c r="L233" i="1" s="1"/>
  <c r="J233" i="1" l="1"/>
  <c r="B192" i="7"/>
  <c r="Q233" i="1"/>
  <c r="H233" i="1"/>
  <c r="I233" i="1" s="1"/>
  <c r="E192" i="7" l="1"/>
  <c r="D192" i="7"/>
  <c r="G233" i="1" l="1"/>
  <c r="O233" i="1" s="1"/>
  <c r="P233" i="1" l="1"/>
  <c r="F234" i="1" s="1"/>
  <c r="L234" i="1" s="1"/>
  <c r="H234" i="1" l="1"/>
  <c r="I234" i="1" s="1"/>
  <c r="B193" i="7"/>
  <c r="J234" i="1"/>
  <c r="Q234" i="1"/>
  <c r="D193" i="7"/>
  <c r="E193" i="7"/>
  <c r="G234" i="1" l="1"/>
  <c r="O234" i="1" s="1"/>
  <c r="P234" i="1" l="1"/>
  <c r="F235" i="1" s="1"/>
  <c r="L235" i="1" s="1"/>
  <c r="B194" i="7"/>
  <c r="J235" i="1" l="1"/>
  <c r="H235" i="1"/>
  <c r="I235" i="1" s="1"/>
  <c r="Q235" i="1"/>
  <c r="E194" i="7"/>
  <c r="D194" i="7"/>
  <c r="G235" i="1" l="1"/>
  <c r="O235" i="1" s="1"/>
  <c r="P235" i="1" l="1"/>
  <c r="F236" i="1" s="1"/>
  <c r="L236" i="1" s="1"/>
  <c r="B195" i="7"/>
  <c r="Q236" i="1"/>
  <c r="H236" i="1"/>
  <c r="I236" i="1" s="1"/>
  <c r="J236" i="1" l="1"/>
  <c r="D195" i="7"/>
  <c r="E195" i="7"/>
  <c r="G236" i="1" s="1"/>
  <c r="O236" i="1" s="1"/>
  <c r="P236" i="1" l="1"/>
  <c r="F237" i="1" s="1"/>
  <c r="L237" i="1" s="1"/>
  <c r="J237" i="1" l="1"/>
  <c r="Q237" i="1"/>
  <c r="B196" i="7"/>
  <c r="H237" i="1"/>
  <c r="I237" i="1" s="1"/>
  <c r="D196" i="7" l="1"/>
  <c r="E196" i="7"/>
  <c r="G237" i="1" s="1"/>
  <c r="O237" i="1" s="1"/>
  <c r="P237" i="1" l="1"/>
  <c r="F238" i="1" s="1"/>
  <c r="L238" i="1" s="1"/>
  <c r="Q238" i="1" l="1"/>
  <c r="B197" i="7"/>
  <c r="J238" i="1"/>
  <c r="H238" i="1"/>
  <c r="I238" i="1" s="1"/>
  <c r="E197" i="7" l="1"/>
  <c r="G238" i="1" s="1"/>
  <c r="O238" i="1" s="1"/>
  <c r="D197" i="7"/>
  <c r="P238" i="1" l="1"/>
  <c r="F239" i="1" s="1"/>
  <c r="L239" i="1" s="1"/>
  <c r="H239" i="1" l="1"/>
  <c r="I239" i="1" s="1"/>
  <c r="J239" i="1"/>
  <c r="B198" i="7"/>
  <c r="Q239" i="1"/>
  <c r="D198" i="7" l="1"/>
  <c r="E198" i="7"/>
  <c r="G239" i="1" s="1"/>
  <c r="O239" i="1" s="1"/>
  <c r="P239" i="1" l="1"/>
  <c r="F240" i="1" s="1"/>
  <c r="L240" i="1" s="1"/>
  <c r="B199" i="7" l="1"/>
  <c r="Q240" i="1"/>
  <c r="H240" i="1"/>
  <c r="I240" i="1" s="1"/>
  <c r="J240" i="1"/>
  <c r="E199" i="7" l="1"/>
  <c r="D199" i="7"/>
  <c r="G240" i="1" l="1"/>
  <c r="O240" i="1" s="1"/>
  <c r="P240" i="1" l="1"/>
  <c r="F241" i="1" s="1"/>
  <c r="L241" i="1" s="1"/>
  <c r="H241" i="1"/>
  <c r="I241" i="1" s="1"/>
  <c r="Q241" i="1"/>
  <c r="J241" i="1"/>
  <c r="B200" i="7" l="1"/>
  <c r="E200" i="7" s="1"/>
  <c r="D200" i="7"/>
  <c r="G241" i="1" l="1"/>
  <c r="O241" i="1" s="1"/>
  <c r="P241" i="1" l="1"/>
  <c r="F242" i="1" s="1"/>
  <c r="L242" i="1" s="1"/>
  <c r="Q242" i="1"/>
  <c r="J242" i="1"/>
  <c r="H242" i="1"/>
  <c r="I242" i="1" s="1"/>
  <c r="B201" i="7" l="1"/>
  <c r="E201" i="7" s="1"/>
  <c r="D201" i="7"/>
  <c r="G242" i="1" l="1"/>
  <c r="O242" i="1" s="1"/>
  <c r="P242" i="1" l="1"/>
  <c r="F243" i="1" s="1"/>
  <c r="L243" i="1" s="1"/>
  <c r="H243" i="1"/>
  <c r="I243" i="1" s="1"/>
  <c r="Q243" i="1"/>
  <c r="J243" i="1"/>
  <c r="B202" i="7"/>
  <c r="E202" i="7" l="1"/>
  <c r="G243" i="1" s="1"/>
  <c r="O243" i="1" s="1"/>
  <c r="D202" i="7"/>
  <c r="P243" i="1" l="1"/>
  <c r="F244" i="1" s="1"/>
  <c r="L244" i="1" s="1"/>
  <c r="H244" i="1" l="1"/>
  <c r="I244" i="1" s="1"/>
  <c r="Q244" i="1"/>
  <c r="B203" i="7"/>
  <c r="J244" i="1"/>
  <c r="E203" i="7" l="1"/>
  <c r="D203" i="7"/>
  <c r="G244" i="1" l="1"/>
  <c r="O244" i="1" s="1"/>
  <c r="P244" i="1" l="1"/>
  <c r="F245" i="1" s="1"/>
  <c r="L245" i="1" s="1"/>
  <c r="B204" i="7"/>
  <c r="H245" i="1"/>
  <c r="I245" i="1" s="1"/>
  <c r="J245" i="1"/>
  <c r="Q245" i="1"/>
  <c r="E204" i="7" l="1"/>
  <c r="D204" i="7"/>
  <c r="G245" i="1" l="1"/>
  <c r="O245" i="1" s="1"/>
  <c r="P245" i="1" l="1"/>
  <c r="F246" i="1" s="1"/>
  <c r="L246" i="1" s="1"/>
  <c r="H246" i="1"/>
  <c r="I246" i="1" s="1"/>
  <c r="B205" i="7"/>
  <c r="J246" i="1"/>
  <c r="Q246" i="1"/>
  <c r="D205" i="7" l="1"/>
  <c r="E205" i="7"/>
  <c r="G246" i="1" s="1"/>
  <c r="O246" i="1" s="1"/>
  <c r="P246" i="1" l="1"/>
  <c r="F247" i="1" s="1"/>
  <c r="L247" i="1" s="1"/>
  <c r="H247" i="1" l="1"/>
  <c r="I247" i="1" s="1"/>
  <c r="Q247" i="1"/>
  <c r="J247" i="1"/>
  <c r="B206" i="7"/>
  <c r="D206" i="7" l="1"/>
  <c r="E206" i="7"/>
  <c r="G247" i="1" s="1"/>
  <c r="O247" i="1" s="1"/>
  <c r="P247" i="1" l="1"/>
  <c r="F248" i="1" s="1"/>
  <c r="L248" i="1" s="1"/>
  <c r="J248" i="1" l="1"/>
  <c r="Q248" i="1"/>
  <c r="H248" i="1"/>
  <c r="I248" i="1" s="1"/>
  <c r="B207" i="7"/>
  <c r="D207" i="7" l="1"/>
  <c r="E207" i="7"/>
  <c r="G248" i="1" s="1"/>
  <c r="O248" i="1" s="1"/>
  <c r="P248" i="1" l="1"/>
  <c r="F249" i="1" s="1"/>
  <c r="L249" i="1" s="1"/>
  <c r="J249" i="1" l="1"/>
  <c r="Q249" i="1"/>
  <c r="H249" i="1"/>
  <c r="I249" i="1" s="1"/>
  <c r="B208" i="7"/>
  <c r="D208" i="7" l="1"/>
  <c r="E208" i="7"/>
  <c r="G249" i="1" s="1"/>
  <c r="O249" i="1" s="1"/>
  <c r="P249" i="1" l="1"/>
  <c r="F250" i="1" s="1"/>
  <c r="L250" i="1" s="1"/>
  <c r="J250" i="1" l="1"/>
  <c r="B209" i="7"/>
  <c r="H250" i="1"/>
  <c r="I250" i="1" s="1"/>
  <c r="Q250" i="1"/>
  <c r="E209" i="7" l="1"/>
  <c r="G250" i="1" s="1"/>
  <c r="O250" i="1" s="1"/>
  <c r="D209" i="7"/>
  <c r="P250" i="1" l="1"/>
  <c r="F251" i="1" s="1"/>
  <c r="L251" i="1" s="1"/>
  <c r="H251" i="1" l="1"/>
  <c r="I251" i="1" s="1"/>
  <c r="B210" i="7"/>
  <c r="Q251" i="1"/>
  <c r="J251" i="1"/>
  <c r="E210" i="7" l="1"/>
  <c r="G251" i="1" s="1"/>
  <c r="O251" i="1" s="1"/>
  <c r="D210" i="7"/>
  <c r="P251" i="1" l="1"/>
  <c r="F252" i="1" s="1"/>
  <c r="L252" i="1" s="1"/>
  <c r="Q252" i="1" l="1"/>
  <c r="B211" i="7"/>
  <c r="J252" i="1"/>
  <c r="H252" i="1"/>
  <c r="I252" i="1" s="1"/>
  <c r="D211" i="7" l="1"/>
  <c r="E211" i="7"/>
  <c r="G252" i="1" s="1"/>
  <c r="O252" i="1" s="1"/>
  <c r="P252" i="1" l="1"/>
  <c r="F253" i="1" s="1"/>
  <c r="L253" i="1" s="1"/>
  <c r="Q253" i="1" l="1"/>
  <c r="B212" i="7"/>
  <c r="J253" i="1"/>
  <c r="H253" i="1"/>
  <c r="I253" i="1" s="1"/>
  <c r="D212" i="7" l="1"/>
  <c r="E212" i="7"/>
  <c r="G253" i="1" s="1"/>
  <c r="O253" i="1" s="1"/>
  <c r="P253" i="1" l="1"/>
  <c r="F254" i="1" s="1"/>
  <c r="L254" i="1" s="1"/>
  <c r="J254" i="1" l="1"/>
  <c r="B213" i="7"/>
  <c r="H254" i="1"/>
  <c r="I254" i="1" s="1"/>
  <c r="Q254" i="1"/>
  <c r="E213" i="7" l="1"/>
  <c r="G254" i="1" s="1"/>
  <c r="O254" i="1" s="1"/>
  <c r="D213" i="7"/>
  <c r="P254" i="1" l="1"/>
  <c r="F255" i="1" s="1"/>
  <c r="L255" i="1" s="1"/>
  <c r="H255" i="1" l="1"/>
  <c r="I255" i="1" s="1"/>
  <c r="Q255" i="1"/>
  <c r="J255" i="1"/>
  <c r="B214" i="7"/>
  <c r="D214" i="7" l="1"/>
  <c r="E214" i="7"/>
  <c r="G255" i="1" s="1"/>
  <c r="O255" i="1" s="1"/>
  <c r="P255" i="1" l="1"/>
  <c r="F256" i="1" s="1"/>
  <c r="L256" i="1" s="1"/>
  <c r="Q256" i="1" l="1"/>
  <c r="H256" i="1"/>
  <c r="I256" i="1" s="1"/>
  <c r="B215" i="7"/>
  <c r="J256" i="1"/>
  <c r="D215" i="7" l="1"/>
  <c r="E215" i="7"/>
  <c r="G256" i="1" s="1"/>
  <c r="O256" i="1" s="1"/>
  <c r="P256" i="1" l="1"/>
  <c r="F257" i="1" s="1"/>
  <c r="L257" i="1" s="1"/>
  <c r="Q257" i="1" l="1"/>
  <c r="H257" i="1"/>
  <c r="I257" i="1" s="1"/>
  <c r="J257" i="1"/>
  <c r="B216" i="7"/>
  <c r="D216" i="7" l="1"/>
  <c r="E216" i="7"/>
  <c r="G257" i="1" s="1"/>
  <c r="O257" i="1" s="1"/>
  <c r="P257" i="1" l="1"/>
  <c r="F258" i="1" s="1"/>
  <c r="L258" i="1" s="1"/>
  <c r="B217" i="7" l="1"/>
  <c r="Q258" i="1"/>
  <c r="H258" i="1"/>
  <c r="I258" i="1" s="1"/>
  <c r="J258" i="1"/>
  <c r="E217" i="7" l="1"/>
  <c r="D217" i="7"/>
  <c r="G258" i="1" l="1"/>
  <c r="O258" i="1" s="1"/>
  <c r="P258" i="1" l="1"/>
  <c r="F259" i="1" s="1"/>
  <c r="L259" i="1" s="1"/>
  <c r="H259" i="1"/>
  <c r="I259" i="1" s="1"/>
  <c r="Q259" i="1" l="1"/>
  <c r="B218" i="7"/>
  <c r="J259" i="1"/>
  <c r="D218" i="7"/>
  <c r="E218" i="7"/>
  <c r="G259" i="1" s="1"/>
  <c r="O259" i="1" s="1"/>
  <c r="P259" i="1" l="1"/>
  <c r="F260" i="1" s="1"/>
  <c r="L260" i="1" s="1"/>
  <c r="J260" i="1" l="1"/>
  <c r="B219" i="7"/>
  <c r="Q260" i="1"/>
  <c r="H260" i="1"/>
  <c r="I260" i="1" s="1"/>
  <c r="E219" i="7" l="1"/>
  <c r="G260" i="1" s="1"/>
  <c r="O260" i="1" s="1"/>
  <c r="D219" i="7"/>
  <c r="P260" i="1" l="1"/>
  <c r="F261" i="1" s="1"/>
  <c r="L261" i="1" s="1"/>
  <c r="B220" i="7" l="1"/>
  <c r="H261" i="1"/>
  <c r="I261" i="1" s="1"/>
  <c r="J261" i="1"/>
  <c r="Q261" i="1"/>
  <c r="D220" i="7" l="1"/>
  <c r="E220" i="7"/>
  <c r="G261" i="1" s="1"/>
  <c r="O261" i="1" s="1"/>
  <c r="P261" i="1" l="1"/>
  <c r="F262" i="1" s="1"/>
  <c r="L262" i="1" s="1"/>
  <c r="B221" i="7" l="1"/>
  <c r="H262" i="1"/>
  <c r="I262" i="1" s="1"/>
  <c r="Q262" i="1"/>
  <c r="J262" i="1"/>
  <c r="E221" i="7" l="1"/>
  <c r="D221" i="7"/>
  <c r="G262" i="1" l="1"/>
  <c r="O262" i="1" s="1"/>
  <c r="P262" i="1" l="1"/>
  <c r="F263" i="1" s="1"/>
  <c r="L263" i="1" s="1"/>
  <c r="J263" i="1"/>
  <c r="Q263" i="1"/>
  <c r="B222" i="7"/>
  <c r="H263" i="1"/>
  <c r="I263" i="1" s="1"/>
  <c r="D222" i="7" l="1"/>
  <c r="E222" i="7"/>
  <c r="G263" i="1" s="1"/>
  <c r="O263" i="1" s="1"/>
  <c r="P263" i="1" l="1"/>
  <c r="F264" i="1" s="1"/>
  <c r="L264" i="1" s="1"/>
  <c r="Q264" i="1" l="1"/>
  <c r="J264" i="1"/>
  <c r="H264" i="1"/>
  <c r="I264" i="1" s="1"/>
  <c r="B223" i="7"/>
  <c r="E223" i="7" l="1"/>
  <c r="D223" i="7"/>
  <c r="G264" i="1" l="1"/>
  <c r="O264" i="1" s="1"/>
  <c r="P264" i="1" l="1"/>
  <c r="F265" i="1" s="1"/>
  <c r="L265" i="1" s="1"/>
  <c r="Q265" i="1"/>
  <c r="B224" i="7"/>
  <c r="J265" i="1"/>
  <c r="H265" i="1" l="1"/>
  <c r="I265" i="1" s="1"/>
  <c r="D224" i="7"/>
  <c r="E224" i="7"/>
  <c r="G265" i="1" s="1"/>
  <c r="O265" i="1" s="1"/>
  <c r="P265" i="1" l="1"/>
  <c r="F266" i="1" s="1"/>
  <c r="L266" i="1" s="1"/>
  <c r="Q266" i="1" l="1"/>
  <c r="H266" i="1"/>
  <c r="I266" i="1" s="1"/>
  <c r="B225" i="7"/>
  <c r="J266" i="1"/>
  <c r="D225" i="7" l="1"/>
  <c r="E225" i="7"/>
  <c r="G266" i="1" s="1"/>
  <c r="O266" i="1" s="1"/>
  <c r="P266" i="1" l="1"/>
  <c r="F267" i="1" s="1"/>
  <c r="L267" i="1" s="1"/>
  <c r="B226" i="7" l="1"/>
  <c r="H267" i="1"/>
  <c r="I267" i="1" s="1"/>
  <c r="Q267" i="1"/>
  <c r="J267" i="1"/>
  <c r="E226" i="7" l="1"/>
  <c r="G267" i="1" s="1"/>
  <c r="O267" i="1" s="1"/>
  <c r="D226" i="7"/>
  <c r="P267" i="1" l="1"/>
  <c r="F268" i="1" s="1"/>
  <c r="L268" i="1" s="1"/>
  <c r="Q268" i="1" l="1"/>
  <c r="B227" i="7"/>
  <c r="H268" i="1"/>
  <c r="I268" i="1" s="1"/>
  <c r="J268" i="1"/>
  <c r="E227" i="7" l="1"/>
  <c r="D227" i="7"/>
  <c r="G268" i="1" l="1"/>
  <c r="O268" i="1" s="1"/>
  <c r="P268" i="1" l="1"/>
  <c r="F269" i="1" s="1"/>
  <c r="L269" i="1" s="1"/>
  <c r="Q269" i="1"/>
  <c r="J269" i="1" l="1"/>
  <c r="B228" i="7"/>
  <c r="H269" i="1"/>
  <c r="I269" i="1" s="1"/>
  <c r="D228" i="7"/>
  <c r="E228" i="7"/>
  <c r="G269" i="1" s="1"/>
  <c r="O269" i="1" s="1"/>
  <c r="P269" i="1" l="1"/>
  <c r="F270" i="1" s="1"/>
  <c r="L270" i="1" s="1"/>
  <c r="Q270" i="1" l="1"/>
  <c r="H270" i="1"/>
  <c r="I270" i="1" s="1"/>
  <c r="B229" i="7"/>
  <c r="J270" i="1"/>
  <c r="D229" i="7" l="1"/>
  <c r="E229" i="7"/>
  <c r="G270" i="1" s="1"/>
  <c r="O270" i="1" s="1"/>
  <c r="P270" i="1" l="1"/>
  <c r="F271" i="1" s="1"/>
  <c r="L271" i="1" s="1"/>
  <c r="B230" i="7" l="1"/>
  <c r="J271" i="1"/>
  <c r="H271" i="1"/>
  <c r="I271" i="1" s="1"/>
  <c r="Q271" i="1"/>
  <c r="E230" i="7" l="1"/>
  <c r="G271" i="1" s="1"/>
  <c r="O271" i="1" s="1"/>
  <c r="D230" i="7"/>
  <c r="P271" i="1" l="1"/>
  <c r="F272" i="1" s="1"/>
  <c r="L272" i="1" s="1"/>
  <c r="Q272" i="1" l="1"/>
  <c r="H272" i="1"/>
  <c r="I272" i="1" s="1"/>
  <c r="B231" i="7"/>
  <c r="J272" i="1"/>
  <c r="E231" i="7" l="1"/>
  <c r="D231" i="7"/>
  <c r="G272" i="1" l="1"/>
  <c r="O272" i="1" s="1"/>
  <c r="P272" i="1" l="1"/>
  <c r="F273" i="1" s="1"/>
  <c r="L273" i="1" s="1"/>
  <c r="J273" i="1" l="1"/>
  <c r="Q273" i="1"/>
  <c r="B232" i="7"/>
  <c r="H273" i="1"/>
  <c r="I273" i="1" s="1"/>
  <c r="E232" i="7"/>
  <c r="G273" i="1" s="1"/>
  <c r="O273" i="1" s="1"/>
  <c r="D232" i="7"/>
  <c r="P273" i="1" l="1"/>
  <c r="F274" i="1" s="1"/>
  <c r="L274" i="1" s="1"/>
  <c r="J274" i="1" l="1"/>
  <c r="H274" i="1"/>
  <c r="I274" i="1" s="1"/>
  <c r="Q274" i="1"/>
  <c r="B233" i="7"/>
  <c r="E233" i="7" l="1"/>
  <c r="G274" i="1" s="1"/>
  <c r="O274" i="1" s="1"/>
  <c r="D233" i="7"/>
  <c r="P274" i="1" l="1"/>
  <c r="F275" i="1" s="1"/>
  <c r="L275" i="1" s="1"/>
  <c r="H275" i="1" l="1"/>
  <c r="I275" i="1" s="1"/>
  <c r="B234" i="7"/>
  <c r="Q275" i="1"/>
  <c r="J275" i="1"/>
  <c r="E234" i="7" l="1"/>
  <c r="G275" i="1" s="1"/>
  <c r="O275" i="1" s="1"/>
  <c r="D234" i="7"/>
  <c r="P275" i="1" l="1"/>
  <c r="F276" i="1" s="1"/>
  <c r="L276" i="1" s="1"/>
  <c r="Q276" i="1" l="1"/>
  <c r="H276" i="1"/>
  <c r="I276" i="1" s="1"/>
  <c r="J276" i="1"/>
  <c r="B235" i="7"/>
  <c r="E235" i="7" l="1"/>
  <c r="D235" i="7"/>
  <c r="G276" i="1" l="1"/>
  <c r="O276" i="1" s="1"/>
  <c r="P276" i="1" l="1"/>
  <c r="F277" i="1" s="1"/>
  <c r="L277" i="1" s="1"/>
  <c r="B236" i="7" l="1"/>
  <c r="E236" i="7" s="1"/>
  <c r="H277" i="1"/>
  <c r="I277" i="1" s="1"/>
  <c r="J277" i="1"/>
  <c r="Q277" i="1"/>
  <c r="D236" i="7"/>
  <c r="G277" i="1" l="1"/>
  <c r="O277" i="1" s="1"/>
  <c r="P277" i="1" l="1"/>
  <c r="F278" i="1" s="1"/>
  <c r="L278" i="1" s="1"/>
  <c r="Q278" i="1" l="1"/>
  <c r="J278" i="1"/>
  <c r="B237" i="7"/>
  <c r="H278" i="1"/>
  <c r="I278" i="1" s="1"/>
  <c r="E237" i="7"/>
  <c r="D237" i="7"/>
  <c r="G278" i="1" l="1"/>
  <c r="O278" i="1" s="1"/>
  <c r="P278" i="1" l="1"/>
  <c r="F279" i="1" s="1"/>
  <c r="L279" i="1" s="1"/>
  <c r="J279" i="1"/>
  <c r="Q279" i="1" l="1"/>
  <c r="B238" i="7"/>
  <c r="H279" i="1"/>
  <c r="I279" i="1" s="1"/>
  <c r="D238" i="7"/>
  <c r="E238" i="7"/>
  <c r="G279" i="1" s="1"/>
  <c r="O279" i="1" s="1"/>
  <c r="P279" i="1" l="1"/>
  <c r="F280" i="1" s="1"/>
  <c r="L280" i="1" s="1"/>
  <c r="J280" i="1" l="1"/>
  <c r="B239" i="7"/>
  <c r="Q280" i="1"/>
  <c r="H280" i="1"/>
  <c r="I280" i="1" s="1"/>
  <c r="D239" i="7" l="1"/>
  <c r="E239" i="7"/>
  <c r="G280" i="1" l="1"/>
  <c r="O280" i="1" s="1"/>
  <c r="P280" i="1" l="1"/>
  <c r="F281" i="1" s="1"/>
  <c r="L281" i="1" s="1"/>
  <c r="B240" i="7"/>
  <c r="H281" i="1"/>
  <c r="I281" i="1" s="1"/>
  <c r="J281" i="1"/>
  <c r="Q281" i="1" l="1"/>
  <c r="E240" i="7"/>
  <c r="G281" i="1" s="1"/>
  <c r="O281" i="1" s="1"/>
  <c r="D240" i="7"/>
  <c r="P281" i="1" l="1"/>
  <c r="F282" i="1" s="1"/>
  <c r="L282" i="1" s="1"/>
  <c r="J282" i="1" l="1"/>
  <c r="Q282" i="1"/>
  <c r="H282" i="1"/>
  <c r="I282" i="1" s="1"/>
  <c r="B241" i="7"/>
  <c r="D241" i="7" l="1"/>
  <c r="E241" i="7"/>
  <c r="G282" i="1" s="1"/>
  <c r="O282" i="1" s="1"/>
  <c r="P282" i="1" l="1"/>
  <c r="F283" i="1" s="1"/>
  <c r="L283" i="1" s="1"/>
  <c r="L285" i="1" l="1"/>
  <c r="Q283" i="1"/>
  <c r="M41" i="1" s="1"/>
  <c r="H283" i="1"/>
  <c r="B242" i="7"/>
  <c r="J283" i="1"/>
  <c r="J285" i="1" s="1"/>
  <c r="H285" i="1" l="1"/>
  <c r="I283" i="1"/>
  <c r="I285" i="1" s="1"/>
  <c r="D242" i="7"/>
  <c r="E242" i="7"/>
  <c r="G283" i="1" s="1"/>
  <c r="O283" i="1" s="1"/>
  <c r="G285" i="1" l="1"/>
  <c r="O285" i="1"/>
  <c r="P283" i="1"/>
</calcChain>
</file>

<file path=xl/sharedStrings.xml><?xml version="1.0" encoding="utf-8"?>
<sst xmlns="http://schemas.openxmlformats.org/spreadsheetml/2006/main" count="428" uniqueCount="314">
  <si>
    <t>Fecha de cotización</t>
  </si>
  <si>
    <t>Destino</t>
  </si>
  <si>
    <t>Producto</t>
  </si>
  <si>
    <t>Hipoteca Fuerte</t>
  </si>
  <si>
    <t>Programa</t>
  </si>
  <si>
    <t>Tradicional</t>
  </si>
  <si>
    <t>Ingresa valor de vivienda</t>
  </si>
  <si>
    <t>Plazo en meses</t>
  </si>
  <si>
    <t>Tipo de seguro</t>
  </si>
  <si>
    <t>Contratación crédito financiada</t>
  </si>
  <si>
    <t>Estado</t>
  </si>
  <si>
    <t>Aforo Total</t>
  </si>
  <si>
    <t>Condiciones Financieras</t>
  </si>
  <si>
    <t>Datos del Crédito</t>
  </si>
  <si>
    <t>Plazo</t>
  </si>
  <si>
    <t>Seguro</t>
  </si>
  <si>
    <t>Básico</t>
  </si>
  <si>
    <t>Amplio</t>
  </si>
  <si>
    <t>CXA</t>
  </si>
  <si>
    <t>SI</t>
  </si>
  <si>
    <t>NO</t>
  </si>
  <si>
    <t>Aguascalientes</t>
  </si>
  <si>
    <t>Baja California Norte</t>
  </si>
  <si>
    <t>Baja California Sur</t>
  </si>
  <si>
    <t>Campeche</t>
  </si>
  <si>
    <t>Chiapas</t>
  </si>
  <si>
    <t>Chihuahua</t>
  </si>
  <si>
    <t>Ciudad de México</t>
  </si>
  <si>
    <t>Coahuila</t>
  </si>
  <si>
    <t>Colima</t>
  </si>
  <si>
    <t>Durango</t>
  </si>
  <si>
    <t>Estado de México</t>
  </si>
  <si>
    <t>Guanajuato</t>
  </si>
  <si>
    <t>Guerrero</t>
  </si>
  <si>
    <t>Hidalgo</t>
  </si>
  <si>
    <t>Jalisco</t>
  </si>
  <si>
    <t>Michoacán</t>
  </si>
  <si>
    <t>Morelos</t>
  </si>
  <si>
    <t>Nayarit</t>
  </si>
  <si>
    <t xml:space="preserve">Nuevo León </t>
  </si>
  <si>
    <t>Oaxaca</t>
  </si>
  <si>
    <t>Puebla</t>
  </si>
  <si>
    <t>Querétaro</t>
  </si>
  <si>
    <t>Quintana Roo</t>
  </si>
  <si>
    <t>San Luis Potosí</t>
  </si>
  <si>
    <t>Sinaloa</t>
  </si>
  <si>
    <t>Sonora</t>
  </si>
  <si>
    <t>Tabasco</t>
  </si>
  <si>
    <t>Tamaulipas</t>
  </si>
  <si>
    <t>Tlaxcala</t>
  </si>
  <si>
    <t>Veracruz</t>
  </si>
  <si>
    <t>Yucatán</t>
  </si>
  <si>
    <t>Zacatecas</t>
  </si>
  <si>
    <t>Tasa</t>
  </si>
  <si>
    <t/>
  </si>
  <si>
    <t>Producto:</t>
  </si>
  <si>
    <t>Contratación crédito:</t>
  </si>
  <si>
    <t>Valor Vivienda:</t>
  </si>
  <si>
    <t>Avalúo hipotecario:</t>
  </si>
  <si>
    <t>Plazo en meses:</t>
  </si>
  <si>
    <t>Gastos de aprobación:</t>
  </si>
  <si>
    <t>Enganche:</t>
  </si>
  <si>
    <t>Desembolso Inicial Estimado:</t>
  </si>
  <si>
    <t>Seguro Cobertura:</t>
  </si>
  <si>
    <t>*Se sugiere seleccionar este porcentaje y/o monto, el monto definitivo lo informa el notario previo a la firma del contrato de crédito.</t>
  </si>
  <si>
    <t>Selecciona la Tasa de interés</t>
  </si>
  <si>
    <t>Prepago</t>
  </si>
  <si>
    <t>Tipo de prepago</t>
  </si>
  <si>
    <t xml:space="preserve">CAT  Promedio </t>
  </si>
  <si>
    <t>Sin IVA Informativo</t>
  </si>
  <si>
    <t xml:space="preserve">Su crédito se amortizará en </t>
  </si>
  <si>
    <t>meses</t>
  </si>
  <si>
    <t>No.</t>
  </si>
  <si>
    <t>Fecha</t>
  </si>
  <si>
    <t>Días</t>
  </si>
  <si>
    <t>Saldo Inicial</t>
  </si>
  <si>
    <t>Capital</t>
  </si>
  <si>
    <t>Interés</t>
  </si>
  <si>
    <t>Seguro de Vida</t>
  </si>
  <si>
    <t>Seguro de Daños y Contenidos</t>
  </si>
  <si>
    <t>Administración - autorización de crédito diferido</t>
  </si>
  <si>
    <t>Aportación a Capital</t>
  </si>
  <si>
    <t>Pago Mensual</t>
  </si>
  <si>
    <t>Saldo Final</t>
  </si>
  <si>
    <t>Fecha Corte</t>
  </si>
  <si>
    <t>Salida Combo</t>
  </si>
  <si>
    <t>Fecha Cotización</t>
  </si>
  <si>
    <t>Fórmula</t>
  </si>
  <si>
    <t>Días PMT</t>
  </si>
  <si>
    <t>Día Fecha Cotización</t>
  </si>
  <si>
    <t>Duración Intereses</t>
  </si>
  <si>
    <t>Mes Fecha Cotización</t>
  </si>
  <si>
    <t>Año Fecha Cotización</t>
  </si>
  <si>
    <t>Día Primer Pago</t>
  </si>
  <si>
    <t>Fecha Diferente / Se utiliza para validar fecha de captura</t>
  </si>
  <si>
    <t>Mes Primer Pago</t>
  </si>
  <si>
    <t>Fecha Primer Pago</t>
  </si>
  <si>
    <t>Día</t>
  </si>
  <si>
    <t>Mes</t>
  </si>
  <si>
    <t>Año</t>
  </si>
  <si>
    <t>Día máximo</t>
  </si>
  <si>
    <t>Enero</t>
  </si>
  <si>
    <t>Febrero</t>
  </si>
  <si>
    <t>Marzo</t>
  </si>
  <si>
    <t>Abril</t>
  </si>
  <si>
    <t>Mayo</t>
  </si>
  <si>
    <t>Junio</t>
  </si>
  <si>
    <t>Julio</t>
  </si>
  <si>
    <t>Agosto</t>
  </si>
  <si>
    <t>Septiembre</t>
  </si>
  <si>
    <t>Octubre</t>
  </si>
  <si>
    <t>Noviembre</t>
  </si>
  <si>
    <t>Diciembre</t>
  </si>
  <si>
    <t>Factores Seguro Vida</t>
  </si>
  <si>
    <t>Reduce Plazo y Pago</t>
  </si>
  <si>
    <t>Reduce Plazo</t>
  </si>
  <si>
    <t>Reduce Pago</t>
  </si>
  <si>
    <t>Nombre del cliente</t>
  </si>
  <si>
    <t>Simulador Crédito Hipotecario</t>
  </si>
  <si>
    <t>ESTADO</t>
  </si>
  <si>
    <t>SOLO COMPRA VENTA</t>
  </si>
  <si>
    <t>SOLO CREDITO</t>
  </si>
  <si>
    <t>SUMA (Compraventa con crédito)</t>
  </si>
  <si>
    <t>Parametros avalúo</t>
  </si>
  <si>
    <t>Comisión Avalúo Escalonada</t>
  </si>
  <si>
    <t>Resultados</t>
  </si>
  <si>
    <t>Parámetros</t>
  </si>
  <si>
    <t>Cálculos</t>
  </si>
  <si>
    <t>Leyenda Avalúo</t>
  </si>
  <si>
    <t>Valor Avalúo</t>
  </si>
  <si>
    <t>Tarifa (al millar)</t>
  </si>
  <si>
    <t>Comisión Avalúo</t>
  </si>
  <si>
    <t>Mínimo</t>
  </si>
  <si>
    <t>Comisón Promoción</t>
  </si>
  <si>
    <t>Constantes</t>
  </si>
  <si>
    <t>Millar</t>
  </si>
  <si>
    <t>Factor Tarifa</t>
  </si>
  <si>
    <t>Monto por Tarifa</t>
  </si>
  <si>
    <t>De</t>
  </si>
  <si>
    <t>Tope Mínimo?</t>
  </si>
  <si>
    <t>Leyenda Tope</t>
  </si>
  <si>
    <t>Leyenda Tarifa</t>
  </si>
  <si>
    <t>IVA Incluido</t>
  </si>
  <si>
    <t>Sin IVA Incluido</t>
  </si>
  <si>
    <t>Crédito</t>
  </si>
  <si>
    <t>Totales</t>
  </si>
  <si>
    <t>Intereses</t>
  </si>
  <si>
    <t>Pago</t>
  </si>
  <si>
    <t>Seguro Vida</t>
  </si>
  <si>
    <t>Seguro Daños</t>
  </si>
  <si>
    <t>Comisión</t>
  </si>
  <si>
    <t>Mensualidad</t>
  </si>
  <si>
    <t>Saldo</t>
  </si>
  <si>
    <t>Flujo Cero</t>
  </si>
  <si>
    <t>Avalúo</t>
  </si>
  <si>
    <t>Investigación</t>
  </si>
  <si>
    <t>TIR</t>
  </si>
  <si>
    <t>TIR ANUAL</t>
  </si>
  <si>
    <t>INTERES EFECTIVO (CAT)</t>
  </si>
  <si>
    <t>Cliente:</t>
  </si>
  <si>
    <t>Esquema:</t>
  </si>
  <si>
    <t>Crédito Hipotecario</t>
  </si>
  <si>
    <t>Tasa de Interés Anual (Fija):</t>
  </si>
  <si>
    <t>Tasa fija con amortización creciente</t>
  </si>
  <si>
    <t>Monto Total de Crédito:</t>
  </si>
  <si>
    <t>Destino del Crédito:</t>
  </si>
  <si>
    <t>Tabla de amortización en pesos</t>
  </si>
  <si>
    <t>Amortización a Capital</t>
  </si>
  <si>
    <t>Saldo Nuevo</t>
  </si>
  <si>
    <t>Comisión Prepago</t>
  </si>
  <si>
    <t>La presente información es únicamente para efectos ilustrativos, no representa ningún ofrecimiento formal por parte de Grupo Financiero Banorte. El CAT es para fines informativos y de comparación exclusivamente.</t>
  </si>
  <si>
    <t>Destinos</t>
  </si>
  <si>
    <t>Factores Seguro Daños</t>
  </si>
  <si>
    <t>Sin IVA</t>
  </si>
  <si>
    <t>Destructible</t>
  </si>
  <si>
    <t>Mejora + Remodelación</t>
  </si>
  <si>
    <t>Recuerda que el Aforo Máximo es 85%</t>
  </si>
  <si>
    <t>*Gastos Notariales Liquidez:</t>
  </si>
  <si>
    <t>*Gastos  Notariales:</t>
  </si>
  <si>
    <t>Mejora Más Liquidez</t>
  </si>
  <si>
    <t>Monto Mejora de Hipoteca</t>
  </si>
  <si>
    <t>Monto para Liquidez</t>
  </si>
  <si>
    <t>Calculo de Liquidez</t>
  </si>
  <si>
    <t>LTV Máx</t>
  </si>
  <si>
    <t>Valor vivienda</t>
  </si>
  <si>
    <t>Monto Mejora</t>
  </si>
  <si>
    <t>Monto Líquidez</t>
  </si>
  <si>
    <t>LTV Máx L</t>
  </si>
  <si>
    <t>Valor LTV Máx Liquidez</t>
  </si>
  <si>
    <t>Valor LTV Máx M + L</t>
  </si>
  <si>
    <t>Monto máximo para Liquidez</t>
  </si>
  <si>
    <t>Aforo Mejora</t>
  </si>
  <si>
    <t>¿El destino anterior causa IVA?</t>
  </si>
  <si>
    <t>¿El destino anterior es Terreno?</t>
  </si>
  <si>
    <t>*Honorarios Notariales Mejora:</t>
  </si>
  <si>
    <t>Liquidez</t>
  </si>
  <si>
    <t>Tabla de Pagos a Visualizar</t>
  </si>
  <si>
    <t>Mejora de Hipoteca</t>
  </si>
  <si>
    <t>Crédito Mejora:</t>
  </si>
  <si>
    <t>Crédito Liquidez:</t>
  </si>
  <si>
    <t>*Suma asegurable</t>
  </si>
  <si>
    <t>*Es el valor comercial menos el valor terreno</t>
  </si>
  <si>
    <t>Banco Mercantil del Norte, S.A. Institución de Banca Múltiple, Grupo Financiero Banorte</t>
  </si>
  <si>
    <t>Lugar y fecha de recepción de la Oferta Vinculante:</t>
  </si>
  <si>
    <t>monterrey</t>
  </si>
  <si>
    <t>La presente Oferta Vinculante establece los términos y condiciones específicos mediante los cuales El Banco se obliga a otorgar el Crédito a:</t>
  </si>
  <si>
    <t>Capturar nombre del cliente</t>
  </si>
  <si>
    <t>con R.F.C.</t>
  </si>
  <si>
    <t>Captura R.F.C. del Solicitante</t>
  </si>
  <si>
    <t>y domicilio en:</t>
  </si>
  <si>
    <t>Captura domicilio del Solicitante</t>
  </si>
  <si>
    <t>La vigencia de esta Oferta Vinculante es de 20 (veinte) días naturales contados a partir de su fecha de recepción, El Banco se obliga a otorgar el Crédito Garantizado a la Vivienda en los términos y condiciones que se indican, siempre y cuando dentro del plazo señalado el Solicitante dé aviso por escrito de la aceptación de la Oferta Vinculante y requisite toda la documentación soporte de la información que se haya declarado en la solicitud y El Banco compruebe: a) la identidad del Solicitante; b) la veracidad y autenticidad de los datos proporcionados en la Solicitud de Crédito; c) la capacidad crediticia conforme a las sanas prácticas bancarias y condiciones de mercado; d) la realización de un avalúo practicado por un valuador autorizado; y e) el cumplimiento de las demás formalidades que requiera la Ley.</t>
  </si>
  <si>
    <t>En caso de que el Solicitante incumpla con alguno de los requisitos supuestos o documentos señalados, la Oferta Vinculante queda sin efecto y El Banco no estará obligado en forma alguna a otorgar el crédito al Solicitante.</t>
  </si>
  <si>
    <t>Identificación del crédito</t>
  </si>
  <si>
    <t>Costo Anual Total (CAT)</t>
  </si>
  <si>
    <t>Esquema</t>
  </si>
  <si>
    <t>Sin I.V.A.</t>
  </si>
  <si>
    <t xml:space="preserve">Hipoteca </t>
  </si>
  <si>
    <t>Importe Solicitado</t>
  </si>
  <si>
    <t>Forma de entrega</t>
  </si>
  <si>
    <t>Depósito en cuenta.</t>
  </si>
  <si>
    <t>Descuentos o premios</t>
  </si>
  <si>
    <t>No Aplica</t>
  </si>
  <si>
    <t>El valor de la garantía</t>
  </si>
  <si>
    <t>Aforo o % a financiar</t>
  </si>
  <si>
    <t>Tasa de Interés Anual Fija</t>
  </si>
  <si>
    <t>Supuestos asumidos en el cálculo del CAT</t>
  </si>
  <si>
    <t>Tipo</t>
  </si>
  <si>
    <t>Fija</t>
  </si>
  <si>
    <t xml:space="preserve">Cálculo de interés </t>
  </si>
  <si>
    <t>Sobre mes de 30.4 días</t>
  </si>
  <si>
    <t>1.00%, no genera I.V.A.</t>
  </si>
  <si>
    <t>Ordinaria</t>
  </si>
  <si>
    <t>Moratoria</t>
  </si>
  <si>
    <t>Plazo / años</t>
  </si>
  <si>
    <t>Formas de amortización y revisión de tasas</t>
  </si>
  <si>
    <t xml:space="preserve">Contratación - crédito </t>
  </si>
  <si>
    <t>Amortización</t>
  </si>
  <si>
    <t>Mensual</t>
  </si>
  <si>
    <t xml:space="preserve">Gastos de Preoriginación - avalúo hipotecario </t>
  </si>
  <si>
    <t>Revisión de tasa variable</t>
  </si>
  <si>
    <t>Gastos de Preoriginación - gastos de aprobación</t>
  </si>
  <si>
    <t>Amortización a capital e Interés</t>
  </si>
  <si>
    <t>Comisiones aplicables</t>
  </si>
  <si>
    <t>Seguro de Vida.</t>
  </si>
  <si>
    <t>Seguro de Daños y Contenidos.</t>
  </si>
  <si>
    <t>Penalización por pago anticipado de crédito</t>
  </si>
  <si>
    <t>Contratación - supervisión de uso de recursos</t>
  </si>
  <si>
    <t>Por autorización de crédito diferida</t>
  </si>
  <si>
    <t>No genera I.V.A.</t>
  </si>
  <si>
    <t>Penalización por pago tardío</t>
  </si>
  <si>
    <t>5.00% más I.V.A.</t>
  </si>
  <si>
    <t>Contratación - crédito; sustitución del deudor</t>
  </si>
  <si>
    <t>1.50% del saldo insoluto. Para saldos insolutos menores a $100,00.00 el importe es de $1,500.00</t>
  </si>
  <si>
    <t>Costos de servicios prestados</t>
  </si>
  <si>
    <t>Al millar más I.V.A.</t>
  </si>
  <si>
    <t>Avalúo hipotecario</t>
  </si>
  <si>
    <t xml:space="preserve"> (monto estimado en virtud de tratarse de cantidades determinadas por el Notario Público, Registro Público de la Propiedad respectivo, de acuerdo al monto de la operación).</t>
  </si>
  <si>
    <t>Gastos, derechos y honorarios notariales</t>
  </si>
  <si>
    <t xml:space="preserve"> No genera I.V.A.</t>
  </si>
  <si>
    <t xml:space="preserve"> I.V.A. incluido</t>
  </si>
  <si>
    <t>Desempleo</t>
  </si>
  <si>
    <t>Gratis durante toda la vida del crédito.(1)</t>
  </si>
  <si>
    <t>(1) Aplica si el Solicitante cubre los requisitos de elegibilidad vigentes en la póliza de vida colectiva.</t>
  </si>
  <si>
    <t>(2) Los valores son los referidos a cada concepto indicado en el cuerpo de la presente oferta, sin considerar I.V.A.</t>
  </si>
  <si>
    <t>(3) Enfermedades Graves y Momentos de Vida solo aplica cuando participa una mujer como acreditada o coacreditada al contratarse un crédito nuevo.</t>
  </si>
  <si>
    <t xml:space="preserve"> * Sólo para Hipoteca Más por Menos: La tasa de interés es de 11.30% del mes 1 al 37, de 11.55% del mes 38 al 73, de 11.80% del mes 74 en adelante.</t>
  </si>
  <si>
    <t xml:space="preserve">Causas y penas por terminación anticipada: </t>
  </si>
  <si>
    <r>
      <rPr>
        <b/>
        <sz val="8"/>
        <rFont val="Arial"/>
        <family val="2"/>
      </rPr>
      <t>DÉCIMA SÉPTIMA:- VENCIMIENTO ANTICIPADO.-</t>
    </r>
    <r>
      <rPr>
        <sz val="8"/>
        <rFont val="Arial"/>
        <family val="2"/>
      </rPr>
      <t xml:space="preserve">  EL BANCO se reserva la facultad de dar por vencido anticipadamente el plazo fijado en la cláusula de PLAZO DEL CONTRATO, y en consecuencia, el ACREDITADO deberá hacer el pago inmediato del importe del saldo del crédito, intereses ordinarios, moratorios, gastos y demás accesorios legales, si el ACREDITADO faltare al cumplimiento de cualesquiera de las obligaciones contraídas en este contrato, o en los casos en que la Ley así lo previene, o  en los siguientes supuestos:- </t>
    </r>
  </si>
  <si>
    <t>a).- Si el ACREDITADO dejare de efectuar, en forma total, uno o más de los pagos que se obliga a realizar conforme al presente contrato, sean éstos de capital, intereses, comisiones, gastos u otros accesorios.</t>
  </si>
  <si>
    <t>b).- Si el ACREDITADO, vende, grava, afecta o transmite por cualquier figura jurídica los derechos de propiedad que tiene respecto del (de los) inmueble(s) dado(s) en garantía hipotecaria, excepto en caso de herencia.</t>
  </si>
  <si>
    <t>c).- Si el valor del (de los) bien(es) dado(s) en garantía hipotecaria se reduce un 20%-veinte por ciento o más de su valor, tomando como base el (los) avalúo(s) que para el otorgamiento del crédito hubiere mandado practicar EL BANCO de manera que no bastare(n) a cubrir el pago de capital, intereses, comisiones, gastos u otros accesorios pactados en esta escritura.</t>
  </si>
  <si>
    <t>d).- Si el ACREDITADO  destinare el crédito a un fin distinto del expresamente señalado en la cláusula de DESTINO DEL CRÉDITO</t>
  </si>
  <si>
    <t>e).- Si el(los) inmueble(s) no se inscribe(n) en el Registro Público de la Propiedad y del Comercio de conformidad con lo señalado en la cláusula de GARANTÍA(S), fuere(n) embargado(s) por terceros, o si fuere(n) gravado(s) en ulterior grado, sin autorización expresa y por escrito de EL BANCO.</t>
  </si>
  <si>
    <t>f).- Si el ACREDITADO introdujere modificaciones al(a los) inmueble(s) que cause(n) una disminución en el valor comercial del (de los) inmueble(s) o si por cualquier causa resultare(n) total o parcialmente destruido(s) el(los) inmueble(s).</t>
  </si>
  <si>
    <t>g).- Si el ACREDITADO dejare de pagar dos bimestres consecutivos del impuesto predial, o cuotas por servicios de agua o cualquier responsabilidad civil dentro de los diez días siguientes a la notificación que les fuere hecha por las autoridades respectivas.</t>
  </si>
  <si>
    <t>h).- Si el ACREDITADO no mantuviere vigente el(los) contrato(s) de (de los) seguro(s) en caso de que lo(s) haya contratado con una Aseguradora Externa. Así como también si el ACREDITADO no entrega la(s) póliza(s) y comprobantes de pago de las primas en los términos estipulados en la cláusula de SEGUROS.</t>
  </si>
  <si>
    <t>i).- Si el ACREDITADO faltare al exacto cumplimiento de las obligaciones que en general ha contraído en este instrumento.</t>
  </si>
  <si>
    <t>j).- En los demás casos  en que conforme a la Ley se hace exigible anticipadamente el cumplimiento de las obligaciones a plazo.</t>
  </si>
  <si>
    <t>k).- Si el ACREDITADO deja de cumplir con cualquier otro crédito o préstamo que le hubiere otorgado EL BANCO que se dé por vencido anticipadamente o cualquier obligación crediticia a plazo que tenga el ACREDITADO con EL BANCO.</t>
  </si>
  <si>
    <t>l).- Si el ACREDITADO incumple con uno o más de los pagos que se encuentra obligado a cubrir de conformidad con lo establecido en el presente instrumento derivado de una reclamación presentada por el ACREDITADO con relación a cargos mal aplicados.</t>
  </si>
  <si>
    <t>Penas:</t>
  </si>
  <si>
    <r>
      <rPr>
        <b/>
        <sz val="8"/>
        <rFont val="Arial"/>
        <family val="2"/>
      </rPr>
      <t>Intereses moratorios</t>
    </r>
    <r>
      <rPr>
        <sz val="8"/>
        <rFont val="Arial"/>
        <family val="2"/>
      </rPr>
      <t>.- Se generarán a partir del día siguiente de la fecha de vencimiento del tercer pago mensual incumplido, hasta la fecha en que se realice el pago, a la tasa de interés anual que resulte de multiplicar por 2-dos, la tasa de interés ordinaria. Si durante la vigencia del contrato vuelve a incumplir después de que se haya puesto al corriente en los pagos, se le volverá a generar el interés moratorio en los términos señalados.</t>
    </r>
  </si>
  <si>
    <r>
      <rPr>
        <b/>
        <sz val="8"/>
        <rFont val="Arial"/>
        <family val="2"/>
      </rPr>
      <t>Comisión por cobranza</t>
    </r>
    <r>
      <rPr>
        <sz val="8"/>
        <rFont val="Arial"/>
        <family val="2"/>
      </rPr>
      <t xml:space="preserve">.- Se generará a partir del 6-sexto día natural siguiente a la fecha de vencimiento del pago respectivo, se podrá generar hasta por tres pagos mensuales consecutivos incumplidos y se deberá cubrir al momento de su generación, y será la cantidad que resulte de aplicar el 5%-cinco por ciento sobre el saldo vencido. Si durante la vigencia del contrato vuelve a incumplir después de que se haya puesto al corriente en los pagos, se le volverá a generar la comisión por cobranza en los términos señalados. </t>
    </r>
    <r>
      <rPr>
        <b/>
        <sz val="8"/>
        <rFont val="Arial"/>
        <family val="2"/>
      </rPr>
      <t>No se cobrará durante el mismo período, la comisión por cobranza conjunta con los intereses moratorios.</t>
    </r>
  </si>
  <si>
    <t>Información relativa a riesgos inherentes al crédito garantizado a la vivienda de que se trate en relación a las posibles variaciones en tasas de interés, inflación y tipo de UDIs.</t>
  </si>
  <si>
    <t>Para el caso de los créditos con tasa fija no existe riesgo por inflación o tipo de cambio. Para el caso de los créditos con  tasa variable el riesgo consiste en la variación de la tasa derivada del incremento en la inflación o tipo de cambio.</t>
  </si>
  <si>
    <t>Avisos, Leyenda y Notas Aclaratorias:</t>
  </si>
  <si>
    <t>En caso de que el Solicitante acepte la presente Oferta Vinculante y se formalice el contrato de crédito correspondiente, El Banco acepta expresamente que recibirá el pago adelantado del mismo por parte de cualquiera otra Entidad y le cederá todos sus derechos derivados del contrato correspondiente. Asimismo, El Banco acepta expresamente que admitirá la sustitución de deudor en términos de los artículos 13 y 14 de la Ley de Transparencia y de Fomento a la Competencia en el Crédito Garantizado siempre y cuando el comprador presente al banco, una Solicitud de Crédito y cumpla con los demás requisitos y obligaciones que establecen, el artículo 6 de la Ley de Transparencia y de Fomento a la Competencia en el Crédito Garantizado y la Ley de Instituciones de Crédito.</t>
  </si>
  <si>
    <t>El Banco puede recibir  pagos anticipados parciales o totales del importe del crédito.</t>
  </si>
  <si>
    <t>El importe del Crédito señalado en la presente Oferta Vinculante podrá ser modificado en caso de que la capacidad crediticia o el valor de la garantía, al momento de la aceptación de la presente oferta por parte del Solicitante o al momento de la formalización del crédito, fuere distinto al declarado en la Solicitud de Crédito, sin embargo, en tales supuestos El Banco procurará mantener la tasa de interés ofrecida en la Oferta Vinculante.</t>
  </si>
  <si>
    <t>Queda entendido por el Solicitante que una vez transcurridos 30 treinta días naturales siguientes a la fecha de aceptación de la presente oferta, sin haber recibido notificación por escrito por parte de El Banco comunicándole que ha comprobado todas y cada uno de las condiciones señaladas en el penúltimo párrafo del artículo 6 de la Ley de Transparencia y de Fomento a la Competencia en el Crédito Garantizado se entenderá por negado el otorgamiento del crédito contenido en esta oferta.</t>
  </si>
  <si>
    <t>Una vez que El Banco ha concluido con la revisión de la información y transcurridos 30 treinta días naturales, señalados para ese fin, las partes contarán con 45 cuarenta y cinco días naturales para celebrar y formalizar el Crédito Hipotecario.</t>
  </si>
  <si>
    <t>Obligaciones y Restricciones</t>
  </si>
  <si>
    <t>En el caso de que El Banco haya decidido modificar los términos de la Oferta Vinculante, el Solicitante contará con un plazo de 5 días, contados a partir de que reciba el aviso por parte de El Banco para manifestar su conformidad con dichas modificaciones, de lo contrario se tendrán por no aceptadas.</t>
  </si>
  <si>
    <t>El Solicitante cuenta con el derecho de obtener una copia del clausulado que contenga los derechos y obligaciones de las partes con anterioridad a su firma, una vez que se haya autorizado la celebración del Otorgamiento de Crédito Garantizado a la Vivienda.</t>
  </si>
  <si>
    <t>Le recordamos mantenerse al corriente en sus pagos mensuales para disfrutar de los beneficios que le ofrece su Crédito Hipotecario El Banco.</t>
  </si>
  <si>
    <t>Tasa de Interés Anual Inicial del 11.3%, pago al millar inicial de $10.62 con ajuste anual del 2.12%, este incremento anual del pago al millar se aplica directamente al capital del crédito.</t>
  </si>
  <si>
    <t>Tasa de Interés Anual Inicial del 11.3%, pago al millar inicial de $9.57 con ajuste anual del 2.12%, este incremento anual del pago al millar se aplica directamente al capital del crédito.</t>
  </si>
  <si>
    <t>Costo Anual Total de créditos denominados en Moneda Nacional a tasa fija para fines informativos y de comparación exclusivamente. El CAT solo es comparable con el CAT de otros créditos denominados en Moneda Nacional a tasa fija. El CAT no forma parte de los términos y condiciones del crédito, por lo que no es vinculante para la formalización del mismo.</t>
  </si>
  <si>
    <t>El Banco</t>
  </si>
  <si>
    <t>Captura  nombre del funcionario facultado</t>
  </si>
  <si>
    <t>Nombre y firma de funcionario facultado</t>
  </si>
  <si>
    <t>Recibí de conformidad</t>
  </si>
  <si>
    <t>Capturar nombre del Solicitante</t>
  </si>
  <si>
    <t>Nombre y firma del Solicitante</t>
  </si>
  <si>
    <t>Declaro que conozco las obligaciones y restricciones que establece la Ley de Transparencia y Fomento a la Competencia en el Crédito Garantizado, para las Entidades y para los Solicitantes de crédito cuando soliciten una Oferta Vinculante, por lo cual manifiesto mi aceptación a lo siguiente:</t>
  </si>
  <si>
    <t xml:space="preserve">1.       Que El Banco puede analizar y tramitar mi crédito de forma normal  sin necesidad de que me extienda una Oferta Vinculante. </t>
  </si>
  <si>
    <t>2.       Que la Oferta Vinculante tendrá una vigencia de solo 20 (veinte) días naturales a partir de que la reciba y que dentro de dicho plazo debo dar aviso por escrito de mi aceptación a la misma.</t>
  </si>
  <si>
    <t>3.        Que al momento de aceptar la Oferta debo presentar todos los documentos y requisitos necesarios para la contratación del crédito y presentar debidamente requisitada toda la documentación soporte de la información declarada en la solicitud.</t>
  </si>
  <si>
    <t>4.       Que los términos y condiciones de la Oferta,  podrán modificarse si El Banco me da aviso por escrito y una vez recibido manifiesto mi aceptación con dichas modificaciones.</t>
  </si>
  <si>
    <t xml:space="preserve">5.       Que aún cuando fuere necesario para la aprobación del crédito El Banco no podrá solicitarme ningún documento adicional a los señalados en la solicitud de crédito, con lo cual mi crédito puede ser negado. </t>
  </si>
  <si>
    <t>6.       Que El Banco podrá decidir no otorgarme el crédito si no comprueba la veracidad y autenticidad de los datos proporcionados o si la información y documentación no cumple con lo establecido en la Ley.</t>
  </si>
  <si>
    <t>Firma de conformidad</t>
  </si>
  <si>
    <t>Aforo Liquidez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</si>
</sst>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80A]d&quot; de &quot;mmmm&quot; de &quot;yyyy;@"/>
    <numFmt numFmtId="165" formatCode="&quot;$&quot;#,##0.00"/>
    <numFmt numFmtId="166" formatCode="&quot;$&quot;#,##0.00;&quot;$&quot;\(#,##0.00\)"/>
    <numFmt numFmtId="167" formatCode="0.0%"/>
    <numFmt numFmtId="168" formatCode="#,##0_ ;\-#,##0\ "/>
    <numFmt numFmtId="169" formatCode="dd/mmm/yyyy"/>
    <numFmt numFmtId="170" formatCode="&quot;Fechas de Pago&quot;"/>
    <numFmt numFmtId="171" formatCode="0.0"/>
    <numFmt numFmtId="172" formatCode="#,##0.00_ ;\-#,##0.00\ "/>
    <numFmt numFmtId="173" formatCode="0.0000"/>
    <numFmt numFmtId="174" formatCode="dd\ &quot;de&quot;\ mmmm\ &quot;de&quot;\ yyyy"/>
    <numFmt numFmtId="175" formatCode="&quot;$&quot;\ #,##0.00;[Red]&quot;$&quot;\ \-#,##0.00"/>
    <numFmt numFmtId="176" formatCode="&quot;$&quot;\ #,##0.00;[Red]\-&quot;$&quot;#,##0.00"/>
    <numFmt numFmtId="177" formatCode="[$-F800]dddd\,\ mmmm\ dd\,\ yyyy"/>
    <numFmt numFmtId="178" formatCode="d\ &quot;de&quot;\ mmmm\ &quot;de&quot;\ yyyy"/>
  </numFmts>
  <fonts count="47" x14ac:knownFonts="1">
    <font>
      <sz val="11"/>
      <color theme="1"/>
      <name val="Aptos Narrow"/>
      <family val="2"/>
      <scheme val="minor"/>
    </font>
    <font>
      <sz val="11"/>
      <color theme="1"/>
      <name val="Aptos Narrow"/>
      <family val="2"/>
      <scheme val="minor"/>
    </font>
    <font>
      <b/>
      <sz val="10"/>
      <color theme="1"/>
      <name val="Arial"/>
      <family val="2"/>
    </font>
    <font>
      <sz val="10"/>
      <color theme="1"/>
      <name val="Aptos Narrow"/>
      <family val="2"/>
      <scheme val="minor"/>
    </font>
    <font>
      <sz val="10"/>
      <color theme="1"/>
      <name val="Arial"/>
      <family val="2"/>
    </font>
    <font>
      <sz val="10"/>
      <name val="Arial"/>
      <family val="2"/>
    </font>
    <font>
      <sz val="10"/>
      <name val="Aptos Narrow"/>
      <family val="2"/>
      <scheme val="minor"/>
    </font>
    <font>
      <b/>
      <sz val="10"/>
      <color rgb="FFFF0000"/>
      <name val="Aptos Narrow"/>
      <family val="2"/>
      <scheme val="minor"/>
    </font>
    <font>
      <b/>
      <sz val="10"/>
      <color theme="0"/>
      <name val="Aptos Narrow"/>
      <family val="2"/>
      <scheme val="minor"/>
    </font>
    <font>
      <sz val="10"/>
      <color theme="0"/>
      <name val="Aptos Narrow"/>
      <family val="2"/>
      <scheme val="minor"/>
    </font>
    <font>
      <b/>
      <sz val="10"/>
      <name val="Arial"/>
      <family val="2"/>
    </font>
    <font>
      <b/>
      <sz val="10"/>
      <color rgb="FFC00000"/>
      <name val="Arial"/>
      <family val="2"/>
    </font>
    <font>
      <b/>
      <sz val="10"/>
      <color indexed="9"/>
      <name val="Arial"/>
      <family val="2"/>
    </font>
    <font>
      <sz val="8"/>
      <color theme="1"/>
      <name val="Arial"/>
      <family val="2"/>
    </font>
    <font>
      <b/>
      <sz val="8"/>
      <color theme="1"/>
      <name val="Arial"/>
      <family val="2"/>
    </font>
    <font>
      <sz val="8"/>
      <name val="Arial"/>
      <family val="2"/>
    </font>
    <font>
      <b/>
      <sz val="15"/>
      <color theme="3"/>
      <name val="Aptos Narrow"/>
      <family val="2"/>
      <scheme val="minor"/>
    </font>
    <font>
      <b/>
      <sz val="11"/>
      <color theme="1"/>
      <name val="Aptos Narrow"/>
      <family val="2"/>
      <scheme val="minor"/>
    </font>
    <font>
      <sz val="11"/>
      <color theme="0"/>
      <name val="Aptos Narrow"/>
      <family val="2"/>
      <scheme val="minor"/>
    </font>
    <font>
      <b/>
      <sz val="10"/>
      <color theme="1"/>
      <name val="Aptos Narrow"/>
      <family val="2"/>
      <scheme val="minor"/>
    </font>
    <font>
      <sz val="11"/>
      <color rgb="FFFFFFFF"/>
      <name val="Calibri"/>
      <family val="2"/>
    </font>
    <font>
      <sz val="11"/>
      <color rgb="FF000000"/>
      <name val="Calibri"/>
      <family val="2"/>
    </font>
    <font>
      <b/>
      <sz val="11"/>
      <color rgb="FF000000"/>
      <name val="Calibri"/>
      <family val="2"/>
    </font>
    <font>
      <b/>
      <sz val="8"/>
      <color theme="1"/>
      <name val="Aptos Narrow"/>
      <family val="2"/>
      <scheme val="minor"/>
    </font>
    <font>
      <sz val="8"/>
      <color theme="1"/>
      <name val="Aptos Narrow"/>
      <family val="2"/>
      <scheme val="minor"/>
    </font>
    <font>
      <b/>
      <sz val="8"/>
      <color theme="3"/>
      <name val="Aptos Narrow"/>
      <family val="2"/>
      <scheme val="minor"/>
    </font>
    <font>
      <b/>
      <sz val="9"/>
      <color theme="1"/>
      <name val="Arial"/>
      <family val="2"/>
    </font>
    <font>
      <sz val="9"/>
      <color theme="1"/>
      <name val="Arial"/>
      <family val="2"/>
    </font>
    <font>
      <sz val="11"/>
      <color rgb="FF000000"/>
      <name val="Aptos Narrow"/>
      <family val="2"/>
      <scheme val="minor"/>
    </font>
    <font>
      <sz val="11"/>
      <color rgb="FFFF0000"/>
      <name val="Aptos Narrow"/>
      <family val="2"/>
      <scheme val="minor"/>
    </font>
    <font>
      <sz val="10"/>
      <color rgb="FF002060"/>
      <name val="Aptos Narrow"/>
      <family val="2"/>
      <scheme val="minor"/>
    </font>
    <font>
      <sz val="10"/>
      <name val="Book Antiqua"/>
      <family val="1"/>
    </font>
    <font>
      <b/>
      <sz val="8"/>
      <name val="Arial"/>
      <family val="2"/>
    </font>
    <font>
      <sz val="8"/>
      <color rgb="FF0000FF"/>
      <name val="Arial"/>
      <family val="2"/>
    </font>
    <font>
      <sz val="8"/>
      <color indexed="10"/>
      <name val="Arial"/>
      <family val="2"/>
    </font>
    <font>
      <b/>
      <sz val="8"/>
      <color rgb="FF008000"/>
      <name val="Arial"/>
      <family val="2"/>
    </font>
    <font>
      <b/>
      <sz val="8"/>
      <color indexed="12"/>
      <name val="Arial"/>
      <family val="2"/>
    </font>
    <font>
      <b/>
      <sz val="12"/>
      <color rgb="FF0000FF"/>
      <name val="Arial"/>
      <family val="2"/>
    </font>
    <font>
      <b/>
      <sz val="12"/>
      <color indexed="12"/>
      <name val="Arial"/>
      <family val="2"/>
    </font>
    <font>
      <sz val="11"/>
      <color theme="3"/>
      <name val="Aptos Narrow"/>
      <family val="2"/>
      <scheme val="minor"/>
    </font>
    <font>
      <sz val="11"/>
      <name val="Aptos Narrow"/>
      <family val="2"/>
      <scheme val="minor"/>
    </font>
    <font>
      <sz val="8"/>
      <color indexed="12"/>
      <name val="Arial"/>
      <family val="2"/>
    </font>
    <font>
      <b/>
      <sz val="8"/>
      <color indexed="17"/>
      <name val="Arial"/>
      <family val="2"/>
    </font>
    <font>
      <b/>
      <u/>
      <sz val="8"/>
      <color indexed="12"/>
      <name val="Arial"/>
      <family val="2"/>
    </font>
    <font>
      <u/>
      <sz val="10"/>
      <color indexed="12"/>
      <name val="Arial"/>
      <family val="2"/>
    </font>
    <font>
      <b/>
      <u/>
      <sz val="8"/>
      <color indexed="17"/>
      <name val="Arial"/>
      <family val="2"/>
    </font>
    <font>
      <b/>
      <u/>
      <sz val="8"/>
      <color rgb="FF0000FF"/>
      <name val="Arial"/>
      <family val="2"/>
    </font>
  </fonts>
  <fills count="19">
    <fill>
      <patternFill patternType="none"/>
    </fill>
    <fill>
      <patternFill patternType="gray125"/>
    </fill>
    <fill>
      <patternFill patternType="solid">
        <fgColor theme="0" tint="-4.9989318521683403E-2"/>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C00000"/>
        <bgColor indexed="64"/>
      </patternFill>
    </fill>
    <fill>
      <patternFill patternType="solid">
        <fgColor rgb="FFDEEAF6"/>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89999084444715716"/>
        <bgColor indexed="64"/>
      </patternFill>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4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16" fillId="0" borderId="5" applyNumberFormat="0" applyFill="0" applyAlignment="0" applyProtection="0"/>
    <xf numFmtId="0" fontId="31" fillId="0" borderId="0"/>
    <xf numFmtId="0" fontId="31" fillId="0" borderId="0"/>
    <xf numFmtId="9" fontId="5" fillId="0" borderId="0" applyFont="0" applyFill="0" applyBorder="0" applyAlignment="0" applyProtection="0"/>
    <xf numFmtId="44" fontId="5" fillId="0" borderId="0" applyFont="0" applyFill="0" applyBorder="0" applyAlignment="0" applyProtection="0"/>
    <xf numFmtId="0" fontId="31" fillId="0" borderId="0"/>
    <xf numFmtId="0" fontId="44" fillId="0" borderId="0" applyNumberFormat="0" applyFill="0" applyBorder="0" applyAlignment="0" applyProtection="0">
      <alignment vertical="top"/>
      <protection locked="0"/>
    </xf>
  </cellStyleXfs>
  <cellXfs count="398">
    <xf numFmtId="0" fontId="0" fillId="0" borderId="0" xfId="0"/>
    <xf numFmtId="0" fontId="2" fillId="0" borderId="0" xfId="0" applyFont="1" applyAlignment="1" applyProtection="1">
      <alignment horizontal="right"/>
      <protection hidden="1"/>
    </xf>
    <xf numFmtId="0" fontId="0" fillId="0" borderId="0" xfId="0" applyAlignment="1">
      <alignment horizontal="center"/>
    </xf>
    <xf numFmtId="10" fontId="0" fillId="0" borderId="0" xfId="0" applyNumberFormat="1" applyAlignment="1">
      <alignment horizontal="center"/>
    </xf>
    <xf numFmtId="10" fontId="10" fillId="2" borderId="0" xfId="3" applyNumberFormat="1" applyFont="1" applyFill="1" applyAlignment="1" applyProtection="1">
      <alignment horizontal="center"/>
      <protection hidden="1"/>
    </xf>
    <xf numFmtId="0" fontId="5" fillId="2" borderId="0" xfId="0" applyFont="1" applyFill="1" applyProtection="1">
      <protection hidden="1"/>
    </xf>
    <xf numFmtId="0" fontId="10" fillId="2" borderId="0" xfId="0" applyFont="1" applyFill="1" applyAlignment="1" applyProtection="1">
      <alignment horizontal="center"/>
      <protection hidden="1"/>
    </xf>
    <xf numFmtId="0" fontId="10" fillId="2" borderId="0" xfId="0" applyFont="1" applyFill="1" applyAlignment="1" applyProtection="1">
      <alignment horizontal="right"/>
      <protection hidden="1"/>
    </xf>
    <xf numFmtId="165" fontId="5" fillId="2" borderId="0" xfId="2" applyNumberFormat="1" applyFont="1" applyFill="1" applyBorder="1" applyAlignment="1" applyProtection="1">
      <alignment horizontal="right"/>
      <protection hidden="1"/>
    </xf>
    <xf numFmtId="0" fontId="5" fillId="2" borderId="0" xfId="0" applyFont="1" applyFill="1" applyAlignment="1" applyProtection="1">
      <alignment horizontal="center"/>
      <protection hidden="1"/>
    </xf>
    <xf numFmtId="165" fontId="5" fillId="2" borderId="0" xfId="2" applyNumberFormat="1" applyFont="1" applyFill="1" applyBorder="1" applyAlignment="1" applyProtection="1">
      <alignment horizontal="center"/>
      <protection hidden="1"/>
    </xf>
    <xf numFmtId="0" fontId="5" fillId="2" borderId="0" xfId="0" applyFont="1" applyFill="1" applyAlignment="1" applyProtection="1">
      <alignment horizontal="right"/>
      <protection hidden="1"/>
    </xf>
    <xf numFmtId="1" fontId="5" fillId="2" borderId="0" xfId="0" applyNumberFormat="1" applyFont="1" applyFill="1" applyAlignment="1" applyProtection="1">
      <alignment horizontal="center"/>
      <protection hidden="1"/>
    </xf>
    <xf numFmtId="0" fontId="10" fillId="2" borderId="1" xfId="0" applyFont="1" applyFill="1" applyBorder="1" applyAlignment="1" applyProtection="1">
      <alignment horizontal="right"/>
      <protection hidden="1"/>
    </xf>
    <xf numFmtId="165" fontId="10" fillId="2" borderId="1" xfId="2" applyNumberFormat="1" applyFont="1" applyFill="1" applyBorder="1" applyAlignment="1" applyProtection="1">
      <protection hidden="1"/>
    </xf>
    <xf numFmtId="44" fontId="10" fillId="2" borderId="1" xfId="2" applyFont="1" applyFill="1" applyBorder="1" applyAlignment="1" applyProtection="1">
      <protection hidden="1"/>
    </xf>
    <xf numFmtId="166" fontId="10" fillId="2" borderId="1" xfId="2" applyNumberFormat="1" applyFont="1" applyFill="1" applyBorder="1" applyAlignment="1" applyProtection="1">
      <protection hidden="1"/>
    </xf>
    <xf numFmtId="0" fontId="10"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0" fontId="10" fillId="0" borderId="0" xfId="0" applyFont="1" applyAlignment="1" applyProtection="1">
      <alignment horizontal="center"/>
      <protection hidden="1"/>
    </xf>
    <xf numFmtId="167" fontId="11" fillId="0" borderId="0" xfId="3" applyNumberFormat="1" applyFont="1" applyFill="1" applyAlignment="1" applyProtection="1">
      <alignment horizontal="center"/>
      <protection hidden="1"/>
    </xf>
    <xf numFmtId="0" fontId="10" fillId="0" borderId="0" xfId="0" applyFont="1" applyAlignment="1" applyProtection="1">
      <alignment horizontal="right"/>
      <protection hidden="1"/>
    </xf>
    <xf numFmtId="1" fontId="11" fillId="0" borderId="0" xfId="0" applyNumberFormat="1" applyFont="1" applyAlignment="1" applyProtection="1">
      <alignment horizontal="center"/>
      <protection hidden="1"/>
    </xf>
    <xf numFmtId="0" fontId="12" fillId="3" borderId="4" xfId="4" applyFont="1" applyFill="1" applyBorder="1" applyAlignment="1" applyProtection="1">
      <alignment horizontal="center" vertical="center" wrapText="1"/>
      <protection hidden="1"/>
    </xf>
    <xf numFmtId="0" fontId="13" fillId="0" borderId="0" xfId="0" applyFont="1"/>
    <xf numFmtId="168" fontId="13" fillId="0" borderId="4" xfId="1" applyNumberFormat="1" applyFont="1" applyFill="1" applyBorder="1" applyAlignment="1">
      <alignment horizontal="center"/>
    </xf>
    <xf numFmtId="16" fontId="13" fillId="0" borderId="0" xfId="0" applyNumberFormat="1" applyFont="1"/>
    <xf numFmtId="0" fontId="13" fillId="7" borderId="0" xfId="0" applyFont="1" applyFill="1"/>
    <xf numFmtId="1" fontId="13" fillId="0" borderId="0" xfId="0" applyNumberFormat="1" applyFont="1"/>
    <xf numFmtId="0" fontId="14" fillId="0" borderId="0" xfId="0" applyFont="1" applyAlignment="1">
      <alignment horizontal="center"/>
    </xf>
    <xf numFmtId="0" fontId="14" fillId="0" borderId="0" xfId="0" applyFont="1"/>
    <xf numFmtId="169" fontId="13" fillId="8" borderId="4" xfId="0" applyNumberFormat="1" applyFont="1" applyFill="1" applyBorder="1" applyAlignment="1">
      <alignment horizontal="center"/>
    </xf>
    <xf numFmtId="0" fontId="13" fillId="8" borderId="0" xfId="0" applyFont="1" applyFill="1"/>
    <xf numFmtId="0" fontId="13" fillId="8" borderId="4" xfId="0" applyFont="1" applyFill="1" applyBorder="1" applyAlignment="1">
      <alignment horizontal="center"/>
    </xf>
    <xf numFmtId="0" fontId="14" fillId="4" borderId="0" xfId="0" applyFont="1" applyFill="1" applyAlignment="1">
      <alignment horizontal="center"/>
    </xf>
    <xf numFmtId="170" fontId="14" fillId="4" borderId="0" xfId="0" applyNumberFormat="1" applyFont="1" applyFill="1" applyAlignment="1">
      <alignment horizontal="center"/>
    </xf>
    <xf numFmtId="169" fontId="14" fillId="4" borderId="0" xfId="0" applyNumberFormat="1" applyFont="1" applyFill="1" applyAlignment="1">
      <alignment horizontal="center"/>
    </xf>
    <xf numFmtId="0" fontId="13" fillId="0" borderId="0" xfId="0" applyFont="1" applyAlignment="1">
      <alignment horizontal="center"/>
    </xf>
    <xf numFmtId="169" fontId="13" fillId="0" borderId="0" xfId="0" applyNumberFormat="1" applyFont="1" applyAlignment="1">
      <alignment horizontal="center"/>
    </xf>
    <xf numFmtId="171" fontId="13" fillId="0" borderId="0" xfId="0" applyNumberFormat="1" applyFont="1" applyAlignment="1">
      <alignment horizontal="center"/>
    </xf>
    <xf numFmtId="0" fontId="15" fillId="0" borderId="0" xfId="0" applyFont="1" applyAlignment="1">
      <alignment horizontal="center"/>
    </xf>
    <xf numFmtId="0" fontId="13" fillId="8" borderId="0" xfId="0" applyFont="1" applyFill="1" applyAlignment="1">
      <alignment horizontal="center"/>
    </xf>
    <xf numFmtId="1" fontId="13" fillId="8" borderId="4" xfId="0" applyNumberFormat="1" applyFont="1" applyFill="1" applyBorder="1" applyAlignment="1">
      <alignment horizontal="center"/>
    </xf>
    <xf numFmtId="0" fontId="13" fillId="7" borderId="0" xfId="0" applyFont="1" applyFill="1" applyAlignment="1">
      <alignment horizontal="center"/>
    </xf>
    <xf numFmtId="0" fontId="13" fillId="0" borderId="0" xfId="0" applyFont="1" applyAlignment="1">
      <alignment horizontal="right"/>
    </xf>
    <xf numFmtId="1" fontId="13" fillId="0" borderId="0" xfId="0" applyNumberFormat="1" applyFont="1" applyAlignment="1">
      <alignment horizontal="center"/>
    </xf>
    <xf numFmtId="0" fontId="0" fillId="8" borderId="0" xfId="0" applyFill="1" applyAlignment="1">
      <alignment horizontal="center"/>
    </xf>
    <xf numFmtId="0" fontId="20" fillId="9" borderId="7"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21" fillId="0" borderId="9" xfId="0" applyFont="1" applyBorder="1" applyAlignment="1">
      <alignment vertical="center"/>
    </xf>
    <xf numFmtId="10" fontId="21" fillId="0" borderId="10" xfId="0" applyNumberFormat="1" applyFont="1" applyBorder="1" applyAlignment="1">
      <alignment horizontal="right" vertical="center"/>
    </xf>
    <xf numFmtId="10" fontId="22" fillId="0" borderId="10" xfId="0" applyNumberFormat="1" applyFont="1" applyBorder="1" applyAlignment="1">
      <alignment horizontal="right" vertical="center"/>
    </xf>
    <xf numFmtId="0" fontId="21" fillId="10" borderId="9" xfId="0" applyFont="1" applyFill="1" applyBorder="1" applyAlignment="1">
      <alignment vertical="center"/>
    </xf>
    <xf numFmtId="10" fontId="21" fillId="10" borderId="10" xfId="0" applyNumberFormat="1" applyFont="1" applyFill="1" applyBorder="1" applyAlignment="1">
      <alignment horizontal="right" vertical="center"/>
    </xf>
    <xf numFmtId="10" fontId="22" fillId="10" borderId="10" xfId="0" applyNumberFormat="1" applyFont="1" applyFill="1" applyBorder="1" applyAlignment="1">
      <alignment horizontal="right" vertical="center"/>
    </xf>
    <xf numFmtId="167" fontId="0" fillId="0" borderId="0" xfId="3" applyNumberFormat="1" applyFont="1" applyAlignment="1">
      <alignment horizontal="center"/>
    </xf>
    <xf numFmtId="0" fontId="23" fillId="11" borderId="11" xfId="0" applyFont="1" applyFill="1" applyBorder="1" applyAlignment="1">
      <alignment horizontal="center"/>
    </xf>
    <xf numFmtId="0" fontId="23" fillId="11" borderId="12" xfId="0" applyFont="1" applyFill="1" applyBorder="1" applyAlignment="1">
      <alignment horizontal="center"/>
    </xf>
    <xf numFmtId="0" fontId="24" fillId="0" borderId="12" xfId="0" applyFont="1" applyBorder="1"/>
    <xf numFmtId="0" fontId="24" fillId="0" borderId="13" xfId="0" applyFont="1" applyBorder="1"/>
    <xf numFmtId="0" fontId="24" fillId="0" borderId="14" xfId="0" applyFont="1" applyBorder="1"/>
    <xf numFmtId="0" fontId="24" fillId="0" borderId="0" xfId="0" applyFont="1"/>
    <xf numFmtId="0" fontId="24" fillId="0" borderId="0" xfId="0" applyFont="1" applyProtection="1">
      <protection hidden="1"/>
    </xf>
    <xf numFmtId="0" fontId="24" fillId="0" borderId="15" xfId="0" applyFont="1" applyBorder="1" applyProtection="1">
      <protection hidden="1"/>
    </xf>
    <xf numFmtId="0" fontId="25" fillId="0" borderId="14" xfId="5" applyFont="1" applyBorder="1" applyProtection="1">
      <protection hidden="1"/>
    </xf>
    <xf numFmtId="0" fontId="24" fillId="0" borderId="14" xfId="0" applyFont="1" applyBorder="1" applyProtection="1">
      <protection hidden="1"/>
    </xf>
    <xf numFmtId="0" fontId="23" fillId="6" borderId="0" xfId="0" applyFont="1" applyFill="1" applyProtection="1">
      <protection hidden="1"/>
    </xf>
    <xf numFmtId="0" fontId="24" fillId="6" borderId="15" xfId="0" applyFont="1" applyFill="1" applyBorder="1" applyProtection="1">
      <protection hidden="1"/>
    </xf>
    <xf numFmtId="0" fontId="23" fillId="12" borderId="14" xfId="0" applyFont="1" applyFill="1" applyBorder="1" applyProtection="1">
      <protection hidden="1"/>
    </xf>
    <xf numFmtId="0" fontId="24" fillId="12" borderId="0" xfId="0" applyFont="1" applyFill="1" applyProtection="1">
      <protection hidden="1"/>
    </xf>
    <xf numFmtId="0" fontId="23" fillId="2" borderId="0" xfId="0" applyFont="1" applyFill="1" applyProtection="1">
      <protection hidden="1"/>
    </xf>
    <xf numFmtId="0" fontId="24" fillId="2" borderId="0" xfId="0" applyFont="1" applyFill="1" applyProtection="1">
      <protection hidden="1"/>
    </xf>
    <xf numFmtId="9" fontId="24" fillId="0" borderId="15" xfId="3" applyFont="1" applyBorder="1" applyAlignment="1" applyProtection="1">
      <alignment horizontal="center"/>
      <protection hidden="1"/>
    </xf>
    <xf numFmtId="4" fontId="24" fillId="0" borderId="0" xfId="0" applyNumberFormat="1" applyFont="1" applyAlignment="1" applyProtection="1">
      <alignment horizontal="center"/>
      <protection locked="0" hidden="1"/>
    </xf>
    <xf numFmtId="0" fontId="24" fillId="0" borderId="0" xfId="0" applyFont="1" applyAlignment="1" applyProtection="1">
      <alignment horizontal="center"/>
      <protection hidden="1"/>
    </xf>
    <xf numFmtId="4" fontId="24" fillId="0" borderId="0" xfId="0" applyNumberFormat="1" applyFont="1" applyAlignment="1" applyProtection="1">
      <alignment horizontal="center"/>
      <protection hidden="1"/>
    </xf>
    <xf numFmtId="43" fontId="24" fillId="0" borderId="15" xfId="1" applyFont="1" applyBorder="1" applyProtection="1">
      <protection hidden="1"/>
    </xf>
    <xf numFmtId="0" fontId="23" fillId="4" borderId="14" xfId="0" applyFont="1" applyFill="1" applyBorder="1" applyProtection="1">
      <protection hidden="1"/>
    </xf>
    <xf numFmtId="0" fontId="24" fillId="4" borderId="0" xfId="0" applyFont="1" applyFill="1" applyProtection="1">
      <protection hidden="1"/>
    </xf>
    <xf numFmtId="0" fontId="23" fillId="13" borderId="14" xfId="0" applyFont="1" applyFill="1" applyBorder="1" applyAlignment="1" applyProtection="1">
      <alignment horizontal="center"/>
      <protection hidden="1"/>
    </xf>
    <xf numFmtId="0" fontId="23" fillId="13" borderId="0" xfId="0" applyFont="1" applyFill="1" applyAlignment="1" applyProtection="1">
      <alignment horizontal="center"/>
      <protection hidden="1"/>
    </xf>
    <xf numFmtId="3" fontId="24" fillId="0" borderId="14" xfId="0" applyNumberFormat="1" applyFont="1" applyBorder="1" applyAlignment="1" applyProtection="1">
      <alignment horizontal="right" indent="1"/>
      <protection hidden="1"/>
    </xf>
    <xf numFmtId="44" fontId="24" fillId="0" borderId="0" xfId="2" applyFont="1" applyBorder="1" applyAlignment="1" applyProtection="1">
      <alignment horizontal="right" indent="1"/>
      <protection hidden="1"/>
    </xf>
    <xf numFmtId="3" fontId="24" fillId="0" borderId="16" xfId="0" applyNumberFormat="1" applyFont="1" applyBorder="1" applyAlignment="1" applyProtection="1">
      <alignment horizontal="right" indent="1"/>
      <protection hidden="1"/>
    </xf>
    <xf numFmtId="0" fontId="24" fillId="0" borderId="17" xfId="0" applyFont="1" applyBorder="1" applyAlignment="1" applyProtection="1">
      <alignment horizontal="center"/>
      <protection hidden="1"/>
    </xf>
    <xf numFmtId="44" fontId="24" fillId="0" borderId="17" xfId="2" applyFont="1" applyBorder="1" applyAlignment="1" applyProtection="1">
      <alignment horizontal="right" indent="1"/>
      <protection hidden="1"/>
    </xf>
    <xf numFmtId="0" fontId="24" fillId="0" borderId="17" xfId="0" applyFont="1" applyBorder="1" applyProtection="1">
      <protection hidden="1"/>
    </xf>
    <xf numFmtId="0" fontId="24" fillId="0" borderId="17" xfId="0" applyFont="1" applyBorder="1"/>
    <xf numFmtId="0" fontId="24" fillId="0" borderId="10" xfId="0" applyFont="1" applyBorder="1"/>
    <xf numFmtId="4" fontId="24" fillId="0" borderId="15" xfId="0" applyNumberFormat="1" applyFont="1" applyBorder="1" applyAlignment="1" applyProtection="1">
      <alignment horizontal="center"/>
      <protection hidden="1"/>
    </xf>
    <xf numFmtId="0" fontId="18" fillId="9" borderId="0" xfId="0" applyFont="1" applyFill="1" applyAlignment="1">
      <alignment horizontal="center"/>
    </xf>
    <xf numFmtId="0" fontId="0" fillId="0" borderId="0" xfId="0" applyAlignment="1">
      <alignment horizontal="right"/>
    </xf>
    <xf numFmtId="1" fontId="0" fillId="0" borderId="0" xfId="0" applyNumberFormat="1" applyAlignment="1">
      <alignment horizontal="center"/>
    </xf>
    <xf numFmtId="43" fontId="0" fillId="0" borderId="0" xfId="1" applyFont="1"/>
    <xf numFmtId="172" fontId="0" fillId="0" borderId="0" xfId="1" applyNumberFormat="1" applyFont="1" applyAlignment="1">
      <alignment horizontal="center"/>
    </xf>
    <xf numFmtId="43" fontId="0" fillId="0" borderId="0" xfId="0" applyNumberFormat="1" applyAlignment="1">
      <alignment horizontal="center"/>
    </xf>
    <xf numFmtId="43" fontId="0" fillId="0" borderId="0" xfId="0" applyNumberFormat="1"/>
    <xf numFmtId="4" fontId="0" fillId="0" borderId="0" xfId="0" applyNumberFormat="1"/>
    <xf numFmtId="10" fontId="0" fillId="0" borderId="0" xfId="3" applyNumberFormat="1" applyFont="1" applyAlignment="1">
      <alignment horizontal="center"/>
    </xf>
    <xf numFmtId="167" fontId="17" fillId="0" borderId="0" xfId="3" applyNumberFormat="1" applyFont="1" applyAlignment="1">
      <alignment horizontal="center"/>
    </xf>
    <xf numFmtId="0" fontId="4" fillId="0" borderId="0" xfId="0" applyFont="1" applyAlignment="1" applyProtection="1">
      <alignment horizontal="center"/>
      <protection hidden="1"/>
    </xf>
    <xf numFmtId="0" fontId="26" fillId="0" borderId="0" xfId="0" applyFont="1" applyAlignment="1" applyProtection="1">
      <alignment horizontal="right"/>
      <protection hidden="1"/>
    </xf>
    <xf numFmtId="0" fontId="27" fillId="0" borderId="0" xfId="0" applyFont="1" applyAlignment="1" applyProtection="1">
      <alignment horizontal="left"/>
      <protection hidden="1"/>
    </xf>
    <xf numFmtId="49" fontId="27" fillId="0" borderId="0" xfId="0" applyNumberFormat="1" applyFont="1" applyAlignment="1" applyProtection="1">
      <alignment vertical="center" wrapText="1"/>
      <protection hidden="1"/>
    </xf>
    <xf numFmtId="10" fontId="27" fillId="0" borderId="0" xfId="3" applyNumberFormat="1" applyFont="1" applyAlignment="1" applyProtection="1">
      <alignment horizontal="center"/>
      <protection hidden="1"/>
    </xf>
    <xf numFmtId="165" fontId="27" fillId="0" borderId="0" xfId="2" applyNumberFormat="1" applyFont="1" applyAlignment="1" applyProtection="1">
      <alignment horizontal="center"/>
      <protection hidden="1"/>
    </xf>
    <xf numFmtId="0" fontId="27" fillId="0" borderId="0" xfId="0" applyFont="1" applyProtection="1">
      <protection hidden="1"/>
    </xf>
    <xf numFmtId="0" fontId="27" fillId="0" borderId="0" xfId="0" applyFont="1" applyAlignment="1" applyProtection="1">
      <alignment horizontal="right"/>
      <protection hidden="1"/>
    </xf>
    <xf numFmtId="0" fontId="27" fillId="0" borderId="0" xfId="0" applyFont="1" applyAlignment="1" applyProtection="1">
      <alignment horizontal="center"/>
      <protection hidden="1"/>
    </xf>
    <xf numFmtId="0" fontId="4" fillId="14" borderId="19" xfId="0" applyFont="1" applyFill="1" applyBorder="1" applyAlignment="1" applyProtection="1">
      <alignment horizontal="center" vertical="center" wrapText="1"/>
      <protection hidden="1"/>
    </xf>
    <xf numFmtId="0" fontId="4" fillId="14" borderId="20" xfId="0" applyFont="1" applyFill="1" applyBorder="1" applyAlignment="1" applyProtection="1">
      <alignment horizontal="center" vertical="center" wrapText="1"/>
      <protection hidden="1"/>
    </xf>
    <xf numFmtId="0" fontId="4" fillId="14" borderId="21" xfId="0" applyFont="1" applyFill="1" applyBorder="1" applyAlignment="1" applyProtection="1">
      <alignment horizontal="center" vertical="center" wrapText="1"/>
      <protection hidden="1"/>
    </xf>
    <xf numFmtId="1" fontId="4" fillId="0" borderId="22" xfId="0" applyNumberFormat="1" applyFont="1" applyBorder="1" applyAlignment="1" applyProtection="1">
      <alignment horizontal="center" vertical="center"/>
      <protection hidden="1"/>
    </xf>
    <xf numFmtId="165" fontId="4" fillId="0" borderId="23" xfId="3" applyNumberFormat="1" applyFont="1" applyBorder="1" applyAlignment="1" applyProtection="1">
      <alignment horizontal="center" vertical="center"/>
      <protection hidden="1"/>
    </xf>
    <xf numFmtId="165" fontId="4" fillId="0" borderId="23" xfId="0" applyNumberFormat="1" applyFont="1" applyBorder="1" applyAlignment="1" applyProtection="1">
      <alignment horizontal="center" vertical="center"/>
      <protection hidden="1"/>
    </xf>
    <xf numFmtId="165" fontId="4" fillId="0" borderId="24" xfId="0" applyNumberFormat="1" applyFont="1" applyBorder="1" applyAlignment="1" applyProtection="1">
      <alignment horizontal="center" vertical="center"/>
      <protection hidden="1"/>
    </xf>
    <xf numFmtId="1" fontId="4" fillId="0" borderId="25" xfId="0" applyNumberFormat="1" applyFont="1" applyBorder="1" applyAlignment="1" applyProtection="1">
      <alignment horizontal="center" vertical="center"/>
      <protection hidden="1"/>
    </xf>
    <xf numFmtId="165" fontId="4" fillId="0" borderId="26" xfId="0" applyNumberFormat="1" applyFont="1" applyBorder="1" applyAlignment="1" applyProtection="1">
      <alignment horizontal="center" vertical="center"/>
      <protection hidden="1"/>
    </xf>
    <xf numFmtId="165" fontId="4" fillId="0" borderId="27" xfId="0" applyNumberFormat="1" applyFont="1" applyBorder="1" applyAlignment="1" applyProtection="1">
      <alignment horizontal="center" vertical="center"/>
      <protection hidden="1"/>
    </xf>
    <xf numFmtId="1" fontId="4" fillId="0" borderId="28" xfId="0" applyNumberFormat="1" applyFont="1" applyBorder="1" applyAlignment="1" applyProtection="1">
      <alignment horizontal="center" vertical="center"/>
      <protection hidden="1"/>
    </xf>
    <xf numFmtId="165" fontId="4" fillId="0" borderId="29" xfId="0" applyNumberFormat="1" applyFont="1" applyBorder="1" applyAlignment="1" applyProtection="1">
      <alignment horizontal="center" vertical="center"/>
      <protection hidden="1"/>
    </xf>
    <xf numFmtId="165" fontId="4" fillId="0" borderId="30" xfId="0" applyNumberFormat="1" applyFont="1" applyBorder="1" applyAlignment="1" applyProtection="1">
      <alignment horizontal="center" vertical="center"/>
      <protection hidden="1"/>
    </xf>
    <xf numFmtId="10" fontId="17" fillId="8" borderId="0" xfId="3" applyNumberFormat="1" applyFont="1" applyFill="1" applyAlignment="1">
      <alignment horizontal="center"/>
    </xf>
    <xf numFmtId="0" fontId="4" fillId="0" borderId="0" xfId="0" applyFont="1" applyProtection="1">
      <protection hidden="1"/>
    </xf>
    <xf numFmtId="4" fontId="4" fillId="6" borderId="4" xfId="0" applyNumberFormat="1" applyFont="1" applyFill="1" applyBorder="1" applyAlignment="1" applyProtection="1">
      <alignment horizontal="center"/>
      <protection locked="0" hidden="1"/>
    </xf>
    <xf numFmtId="0" fontId="3" fillId="0" borderId="0" xfId="0" applyFont="1" applyProtection="1">
      <protection hidden="1"/>
    </xf>
    <xf numFmtId="0" fontId="0" fillId="0" borderId="0" xfId="0" applyProtection="1">
      <protection hidden="1"/>
    </xf>
    <xf numFmtId="0" fontId="19" fillId="0" borderId="0" xfId="0" applyFont="1" applyAlignment="1" applyProtection="1">
      <alignment horizontal="right"/>
      <protection hidden="1"/>
    </xf>
    <xf numFmtId="0" fontId="8" fillId="0" borderId="0" xfId="0" applyFont="1" applyAlignment="1" applyProtection="1">
      <alignment horizontal="center"/>
      <protection hidden="1"/>
    </xf>
    <xf numFmtId="0" fontId="7" fillId="0" borderId="0" xfId="0" applyFont="1" applyProtection="1">
      <protection hidden="1"/>
    </xf>
    <xf numFmtId="10" fontId="5" fillId="4" borderId="0" xfId="3" applyNumberFormat="1" applyFont="1" applyFill="1" applyBorder="1" applyAlignment="1" applyProtection="1">
      <alignment horizontal="center"/>
      <protection hidden="1"/>
    </xf>
    <xf numFmtId="0" fontId="4" fillId="0" borderId="4" xfId="0" applyFont="1" applyBorder="1" applyAlignment="1" applyProtection="1">
      <alignment horizontal="center"/>
      <protection hidden="1"/>
    </xf>
    <xf numFmtId="15" fontId="4" fillId="0" borderId="4" xfId="0" applyNumberFormat="1" applyFont="1" applyBorder="1" applyAlignment="1" applyProtection="1">
      <alignment horizontal="center"/>
      <protection hidden="1"/>
    </xf>
    <xf numFmtId="171" fontId="4" fillId="0" borderId="4" xfId="0" applyNumberFormat="1" applyFont="1" applyBorder="1" applyAlignment="1" applyProtection="1">
      <alignment horizontal="center"/>
      <protection hidden="1"/>
    </xf>
    <xf numFmtId="10" fontId="4" fillId="0" borderId="4" xfId="3" applyNumberFormat="1" applyFont="1" applyBorder="1" applyAlignment="1" applyProtection="1">
      <alignment horizontal="center"/>
      <protection hidden="1"/>
    </xf>
    <xf numFmtId="4" fontId="4" fillId="0" borderId="4" xfId="0" applyNumberFormat="1" applyFont="1" applyBorder="1" applyAlignment="1" applyProtection="1">
      <alignment horizontal="center"/>
      <protection hidden="1"/>
    </xf>
    <xf numFmtId="0" fontId="9" fillId="0" borderId="0" xfId="0" applyFont="1" applyAlignment="1" applyProtection="1">
      <alignment horizontal="center"/>
      <protection hidden="1"/>
    </xf>
    <xf numFmtId="0" fontId="3" fillId="0" borderId="18" xfId="0" applyFont="1" applyBorder="1" applyProtection="1">
      <protection hidden="1"/>
    </xf>
    <xf numFmtId="4" fontId="2" fillId="0" borderId="18" xfId="0" applyNumberFormat="1" applyFont="1" applyBorder="1" applyAlignment="1" applyProtection="1">
      <alignment horizontal="center"/>
      <protection hidden="1"/>
    </xf>
    <xf numFmtId="173" fontId="0" fillId="0" borderId="0" xfId="0" applyNumberFormat="1"/>
    <xf numFmtId="44" fontId="0" fillId="0" borderId="0" xfId="0" applyNumberFormat="1"/>
    <xf numFmtId="0" fontId="28" fillId="0" borderId="4" xfId="0" applyFont="1" applyBorder="1" applyAlignment="1">
      <alignment horizontal="justify" vertical="center" wrapText="1"/>
    </xf>
    <xf numFmtId="0" fontId="28" fillId="8" borderId="4" xfId="0" applyFont="1" applyFill="1" applyBorder="1" applyAlignment="1">
      <alignment horizontal="justify" vertical="center" wrapText="1"/>
    </xf>
    <xf numFmtId="0" fontId="20" fillId="9" borderId="0" xfId="0" applyFont="1" applyFill="1" applyAlignment="1">
      <alignment horizontal="center" vertical="center" wrapText="1"/>
    </xf>
    <xf numFmtId="165" fontId="0" fillId="0" borderId="0" xfId="0" applyNumberFormat="1"/>
    <xf numFmtId="165" fontId="17" fillId="0" borderId="0" xfId="0" applyNumberFormat="1" applyFont="1"/>
    <xf numFmtId="9" fontId="0" fillId="0" borderId="0" xfId="0" applyNumberFormat="1" applyAlignment="1">
      <alignment horizontal="center"/>
    </xf>
    <xf numFmtId="9" fontId="0" fillId="0" borderId="0" xfId="3" applyFont="1" applyAlignment="1">
      <alignment horizontal="center"/>
    </xf>
    <xf numFmtId="9" fontId="17" fillId="8" borderId="0" xfId="3" applyFont="1" applyFill="1" applyAlignment="1">
      <alignment horizontal="center"/>
    </xf>
    <xf numFmtId="44" fontId="29" fillId="0" borderId="0" xfId="0" applyNumberFormat="1" applyFont="1"/>
    <xf numFmtId="0" fontId="3" fillId="0" borderId="0" xfId="0" applyFont="1" applyAlignment="1" applyProtection="1">
      <alignment horizontal="center"/>
      <protection hidden="1"/>
    </xf>
    <xf numFmtId="0" fontId="30" fillId="0" borderId="0" xfId="0" applyFont="1" applyProtection="1">
      <protection hidden="1"/>
    </xf>
    <xf numFmtId="44" fontId="19" fillId="0" borderId="0" xfId="2" applyFont="1" applyAlignment="1" applyProtection="1">
      <alignment horizontal="center"/>
      <protection hidden="1"/>
    </xf>
    <xf numFmtId="44" fontId="19" fillId="0" borderId="0" xfId="0" applyNumberFormat="1" applyFont="1" applyProtection="1">
      <protection hidden="1"/>
    </xf>
    <xf numFmtId="10" fontId="0" fillId="0" borderId="0" xfId="0" applyNumberFormat="1"/>
    <xf numFmtId="0" fontId="34" fillId="17" borderId="1" xfId="7" applyFont="1" applyFill="1" applyBorder="1" applyAlignment="1" applyProtection="1">
      <alignment horizontal="justify" vertical="center" wrapText="1"/>
      <protection hidden="1"/>
    </xf>
    <xf numFmtId="174" fontId="35" fillId="16" borderId="32" xfId="7" applyNumberFormat="1" applyFont="1" applyFill="1" applyBorder="1" applyAlignment="1" applyProtection="1">
      <alignment horizontal="center" vertical="center" wrapText="1"/>
      <protection hidden="1"/>
    </xf>
    <xf numFmtId="0" fontId="32" fillId="18" borderId="14" xfId="6" applyFont="1" applyFill="1" applyBorder="1" applyAlignment="1" applyProtection="1">
      <alignment horizontal="center" vertical="center" wrapText="1"/>
      <protection hidden="1"/>
    </xf>
    <xf numFmtId="0" fontId="32" fillId="18" borderId="0" xfId="6" applyFont="1" applyFill="1" applyAlignment="1" applyProtection="1">
      <alignment horizontal="center" vertical="center" wrapText="1"/>
      <protection hidden="1"/>
    </xf>
    <xf numFmtId="0" fontId="15" fillId="18" borderId="15" xfId="6" applyFont="1" applyFill="1" applyBorder="1" applyAlignment="1" applyProtection="1">
      <alignment horizontal="justify" vertical="center" wrapText="1"/>
      <protection hidden="1"/>
    </xf>
    <xf numFmtId="0" fontId="15" fillId="18" borderId="14" xfId="6" applyFont="1" applyFill="1" applyBorder="1" applyAlignment="1" applyProtection="1">
      <alignment horizontal="justify" vertical="center" wrapText="1"/>
      <protection hidden="1"/>
    </xf>
    <xf numFmtId="0" fontId="15" fillId="18" borderId="0" xfId="6" applyFont="1" applyFill="1" applyAlignment="1" applyProtection="1">
      <alignment horizontal="justify" vertical="center" wrapText="1"/>
      <protection hidden="1"/>
    </xf>
    <xf numFmtId="0" fontId="15" fillId="18" borderId="0" xfId="6" applyFont="1" applyFill="1" applyAlignment="1" applyProtection="1">
      <alignment horizontal="center" vertical="center" wrapText="1"/>
      <protection hidden="1"/>
    </xf>
    <xf numFmtId="0" fontId="15" fillId="18" borderId="14" xfId="6" applyFont="1" applyFill="1" applyBorder="1" applyAlignment="1" applyProtection="1">
      <alignment vertical="center" wrapText="1"/>
      <protection hidden="1"/>
    </xf>
    <xf numFmtId="0" fontId="32" fillId="17" borderId="31" xfId="6" applyFont="1" applyFill="1" applyBorder="1" applyAlignment="1" applyProtection="1">
      <alignment horizontal="left" vertical="center" wrapText="1"/>
      <protection hidden="1"/>
    </xf>
    <xf numFmtId="0" fontId="32" fillId="17" borderId="3" xfId="6" applyFont="1" applyFill="1" applyBorder="1" applyAlignment="1" applyProtection="1">
      <alignment horizontal="left" vertical="center" wrapText="1"/>
      <protection hidden="1"/>
    </xf>
    <xf numFmtId="0" fontId="15" fillId="0" borderId="33" xfId="6" applyFont="1" applyBorder="1" applyAlignment="1" applyProtection="1">
      <alignment horizontal="justify" vertical="center" wrapText="1"/>
      <protection hidden="1"/>
    </xf>
    <xf numFmtId="0" fontId="33" fillId="0" borderId="4" xfId="6" applyFont="1" applyBorder="1" applyAlignment="1" applyProtection="1">
      <alignment horizontal="justify" vertical="center" wrapText="1"/>
      <protection hidden="1"/>
    </xf>
    <xf numFmtId="0" fontId="15" fillId="0" borderId="35" xfId="6" applyFont="1" applyBorder="1" applyAlignment="1" applyProtection="1">
      <alignment vertical="center" wrapText="1"/>
      <protection hidden="1"/>
    </xf>
    <xf numFmtId="0" fontId="33" fillId="18" borderId="36" xfId="6" quotePrefix="1" applyFont="1" applyFill="1" applyBorder="1" applyAlignment="1" applyProtection="1">
      <alignment vertical="center" wrapText="1"/>
      <protection hidden="1"/>
    </xf>
    <xf numFmtId="0" fontId="15" fillId="0" borderId="33" xfId="6" applyFont="1" applyBorder="1" applyAlignment="1" applyProtection="1">
      <alignment horizontal="left" vertical="center" wrapText="1"/>
      <protection hidden="1"/>
    </xf>
    <xf numFmtId="175" fontId="33" fillId="18" borderId="4" xfId="9" quotePrefix="1" applyNumberFormat="1" applyFont="1" applyFill="1" applyBorder="1" applyAlignment="1" applyProtection="1">
      <alignment horizontal="left" vertical="center" wrapText="1"/>
      <protection hidden="1"/>
    </xf>
    <xf numFmtId="0" fontId="15" fillId="0" borderId="4" xfId="6" applyFont="1" applyBorder="1" applyAlignment="1" applyProtection="1">
      <alignment horizontal="justify" vertical="center" wrapText="1"/>
      <protection hidden="1"/>
    </xf>
    <xf numFmtId="175" fontId="33" fillId="18" borderId="4" xfId="9" quotePrefix="1" applyNumberFormat="1" applyFont="1" applyFill="1" applyBorder="1" applyAlignment="1" applyProtection="1">
      <alignment horizontal="justify" vertical="center" wrapText="1"/>
      <protection hidden="1"/>
    </xf>
    <xf numFmtId="10" fontId="33" fillId="18" borderId="4" xfId="8" quotePrefix="1" applyNumberFormat="1" applyFont="1" applyFill="1" applyBorder="1" applyAlignment="1" applyProtection="1">
      <alignment horizontal="justify" vertical="center" wrapText="1"/>
      <protection hidden="1"/>
    </xf>
    <xf numFmtId="10" fontId="15" fillId="18" borderId="14" xfId="8" applyNumberFormat="1" applyFont="1" applyFill="1" applyBorder="1" applyAlignment="1" applyProtection="1">
      <alignment horizontal="justify" vertical="center" wrapText="1"/>
      <protection hidden="1"/>
    </xf>
    <xf numFmtId="0" fontId="15" fillId="0" borderId="0" xfId="6" applyFont="1" applyAlignment="1" applyProtection="1">
      <alignment horizontal="justify" vertical="center" wrapText="1"/>
      <protection hidden="1"/>
    </xf>
    <xf numFmtId="0" fontId="15" fillId="0" borderId="15" xfId="6" applyFont="1" applyBorder="1" applyAlignment="1" applyProtection="1">
      <alignment horizontal="justify" vertical="center" wrapText="1"/>
      <protection hidden="1"/>
    </xf>
    <xf numFmtId="0" fontId="32" fillId="17" borderId="33" xfId="6" applyFont="1" applyFill="1" applyBorder="1" applyAlignment="1" applyProtection="1">
      <alignment horizontal="left" vertical="center" wrapText="1"/>
      <protection hidden="1"/>
    </xf>
    <xf numFmtId="0" fontId="15" fillId="0" borderId="38" xfId="6" applyFont="1" applyBorder="1" applyAlignment="1" applyProtection="1">
      <alignment horizontal="justify" vertical="center" wrapText="1"/>
      <protection hidden="1"/>
    </xf>
    <xf numFmtId="0" fontId="33" fillId="18" borderId="4" xfId="9" quotePrefix="1" applyNumberFormat="1" applyFont="1" applyFill="1" applyBorder="1" applyAlignment="1" applyProtection="1">
      <alignment horizontal="justify" vertical="center" wrapText="1"/>
      <protection hidden="1"/>
    </xf>
    <xf numFmtId="44" fontId="15" fillId="0" borderId="4" xfId="9" applyFont="1" applyFill="1" applyBorder="1" applyAlignment="1" applyProtection="1">
      <alignment horizontal="justify" vertical="center" wrapText="1"/>
      <protection hidden="1"/>
    </xf>
    <xf numFmtId="44" fontId="15" fillId="18" borderId="4" xfId="9" applyFont="1" applyFill="1" applyBorder="1" applyAlignment="1" applyProtection="1">
      <alignment horizontal="justify" vertical="center" wrapText="1"/>
      <protection hidden="1"/>
    </xf>
    <xf numFmtId="10" fontId="15" fillId="18" borderId="4" xfId="8" applyNumberFormat="1" applyFont="1" applyFill="1" applyBorder="1" applyAlignment="1" applyProtection="1">
      <alignment horizontal="justify" vertical="center" wrapText="1"/>
      <protection hidden="1"/>
    </xf>
    <xf numFmtId="0" fontId="15" fillId="0" borderId="33" xfId="6" applyFont="1" applyBorder="1" applyAlignment="1" applyProtection="1">
      <alignment vertical="center" wrapText="1"/>
      <protection hidden="1"/>
    </xf>
    <xf numFmtId="176" fontId="33" fillId="18" borderId="4" xfId="9" quotePrefix="1" applyNumberFormat="1" applyFont="1" applyFill="1" applyBorder="1" applyAlignment="1" applyProtection="1">
      <alignment horizontal="justify" vertical="center" wrapText="1"/>
      <protection hidden="1"/>
    </xf>
    <xf numFmtId="10" fontId="33" fillId="0" borderId="4" xfId="8" applyNumberFormat="1" applyFont="1" applyFill="1" applyBorder="1" applyAlignment="1" applyProtection="1">
      <alignment horizontal="left" vertical="center" wrapText="1"/>
      <protection hidden="1"/>
    </xf>
    <xf numFmtId="0" fontId="15" fillId="0" borderId="4" xfId="6" applyFont="1" applyBorder="1" applyAlignment="1" applyProtection="1">
      <alignment horizontal="center" vertical="center" wrapText="1"/>
      <protection hidden="1"/>
    </xf>
    <xf numFmtId="10" fontId="33" fillId="18" borderId="38" xfId="8" applyNumberFormat="1" applyFont="1" applyFill="1" applyBorder="1" applyAlignment="1" applyProtection="1">
      <alignment horizontal="center" vertical="center" wrapText="1"/>
      <protection hidden="1"/>
    </xf>
    <xf numFmtId="44" fontId="40" fillId="2" borderId="0" xfId="2" applyFont="1" applyFill="1" applyBorder="1" applyAlignment="1" applyProtection="1">
      <alignment horizontal="right"/>
      <protection hidden="1"/>
    </xf>
    <xf numFmtId="165" fontId="15" fillId="18" borderId="38" xfId="2" quotePrefix="1" applyNumberFormat="1" applyFont="1" applyFill="1" applyBorder="1" applyAlignment="1" applyProtection="1">
      <alignment horizontal="center" vertical="center" wrapText="1"/>
      <protection hidden="1"/>
    </xf>
    <xf numFmtId="0" fontId="15" fillId="0" borderId="43" xfId="6" applyFont="1" applyBorder="1" applyAlignment="1" applyProtection="1">
      <alignment horizontal="left" vertical="center" wrapText="1"/>
      <protection hidden="1"/>
    </xf>
    <xf numFmtId="0" fontId="33" fillId="0" borderId="20" xfId="9" applyNumberFormat="1" applyFont="1" applyFill="1" applyBorder="1" applyAlignment="1" applyProtection="1">
      <alignment horizontal="left" vertical="center" wrapText="1"/>
      <protection hidden="1"/>
    </xf>
    <xf numFmtId="0" fontId="32" fillId="18" borderId="43" xfId="6" applyFont="1" applyFill="1" applyBorder="1" applyAlignment="1" applyProtection="1">
      <alignment horizontal="justify" vertical="center" wrapText="1"/>
      <protection hidden="1"/>
    </xf>
    <xf numFmtId="0" fontId="32" fillId="18" borderId="20" xfId="6" applyFont="1" applyFill="1" applyBorder="1" applyAlignment="1" applyProtection="1">
      <alignment horizontal="justify" vertical="center" wrapText="1"/>
      <protection hidden="1"/>
    </xf>
    <xf numFmtId="0" fontId="32" fillId="18" borderId="34" xfId="6" applyFont="1" applyFill="1" applyBorder="1" applyAlignment="1" applyProtection="1">
      <alignment horizontal="justify" vertical="center" wrapText="1"/>
      <protection hidden="1"/>
    </xf>
    <xf numFmtId="0" fontId="32" fillId="0" borderId="43" xfId="7" applyFont="1" applyBorder="1" applyAlignment="1" applyProtection="1">
      <alignment horizontal="justify" vertical="top" wrapText="1"/>
      <protection hidden="1"/>
    </xf>
    <xf numFmtId="0" fontId="15" fillId="0" borderId="20" xfId="7" applyFont="1" applyBorder="1" applyAlignment="1" applyProtection="1">
      <alignment horizontal="justify" vertical="top" wrapText="1"/>
      <protection hidden="1"/>
    </xf>
    <xf numFmtId="0" fontId="15" fillId="0" borderId="34" xfId="7" applyFont="1" applyBorder="1" applyAlignment="1" applyProtection="1">
      <alignment horizontal="justify" vertical="top" wrapText="1"/>
      <protection hidden="1"/>
    </xf>
    <xf numFmtId="0" fontId="15" fillId="18" borderId="43" xfId="4" applyFont="1" applyFill="1" applyBorder="1" applyAlignment="1" applyProtection="1">
      <alignment vertical="center" wrapText="1"/>
      <protection hidden="1"/>
    </xf>
    <xf numFmtId="0" fontId="15" fillId="18" borderId="20" xfId="4" applyFont="1" applyFill="1" applyBorder="1" applyAlignment="1" applyProtection="1">
      <alignment vertical="center" wrapText="1"/>
      <protection hidden="1"/>
    </xf>
    <xf numFmtId="0" fontId="15" fillId="18" borderId="34" xfId="4" applyFont="1" applyFill="1" applyBorder="1" applyAlignment="1" applyProtection="1">
      <alignment vertical="center" wrapText="1"/>
      <protection hidden="1"/>
    </xf>
    <xf numFmtId="0" fontId="15" fillId="0" borderId="14" xfId="6" applyFont="1" applyBorder="1" applyAlignment="1" applyProtection="1">
      <alignment horizontal="justify" vertical="center" wrapText="1"/>
      <protection hidden="1"/>
    </xf>
    <xf numFmtId="177" fontId="41" fillId="18" borderId="0" xfId="6" quotePrefix="1" applyNumberFormat="1" applyFont="1" applyFill="1" applyAlignment="1" applyProtection="1">
      <alignment horizontal="right" vertical="center"/>
      <protection hidden="1"/>
    </xf>
    <xf numFmtId="164" fontId="41" fillId="18" borderId="15" xfId="6" applyNumberFormat="1" applyFont="1" applyFill="1" applyBorder="1" applyAlignment="1" applyProtection="1">
      <alignment horizontal="left" vertical="center"/>
      <protection hidden="1"/>
    </xf>
    <xf numFmtId="0" fontId="41" fillId="18" borderId="0" xfId="6" applyFont="1" applyFill="1" applyAlignment="1" applyProtection="1">
      <alignment horizontal="right" vertical="center"/>
      <protection hidden="1"/>
    </xf>
    <xf numFmtId="178" fontId="41" fillId="18" borderId="15" xfId="6" applyNumberFormat="1" applyFont="1" applyFill="1" applyBorder="1" applyAlignment="1" applyProtection="1">
      <alignment horizontal="left" vertical="center" wrapText="1"/>
      <protection hidden="1"/>
    </xf>
    <xf numFmtId="0" fontId="15" fillId="18" borderId="14" xfId="6" applyFont="1" applyFill="1" applyBorder="1" applyAlignment="1" applyProtection="1">
      <alignment horizontal="center" vertical="center" wrapText="1"/>
      <protection hidden="1"/>
    </xf>
    <xf numFmtId="0" fontId="15" fillId="18" borderId="15" xfId="6" applyFont="1" applyFill="1" applyBorder="1" applyAlignment="1" applyProtection="1">
      <alignment horizontal="center" vertical="center" wrapText="1"/>
      <protection hidden="1"/>
    </xf>
    <xf numFmtId="0" fontId="15" fillId="18" borderId="0" xfId="6" applyFont="1" applyFill="1" applyAlignment="1" applyProtection="1">
      <alignment horizontal="right" vertical="center"/>
      <protection hidden="1"/>
    </xf>
    <xf numFmtId="178" fontId="15" fillId="18" borderId="15" xfId="6" applyNumberFormat="1" applyFont="1" applyFill="1" applyBorder="1" applyAlignment="1" applyProtection="1">
      <alignment horizontal="left" vertical="center" wrapText="1"/>
      <protection hidden="1"/>
    </xf>
    <xf numFmtId="0" fontId="45" fillId="18" borderId="15" xfId="11" applyFont="1" applyFill="1" applyBorder="1" applyAlignment="1" applyProtection="1">
      <alignment horizontal="right" vertical="center" wrapText="1"/>
      <protection hidden="1"/>
    </xf>
    <xf numFmtId="0" fontId="32" fillId="0" borderId="14" xfId="7" applyFont="1" applyBorder="1" applyAlignment="1" applyProtection="1">
      <alignment horizontal="center" vertical="center" wrapText="1"/>
      <protection hidden="1"/>
    </xf>
    <xf numFmtId="0" fontId="32" fillId="0" borderId="0" xfId="7" applyFont="1" applyAlignment="1" applyProtection="1">
      <alignment horizontal="center" vertical="center" wrapText="1"/>
      <protection hidden="1"/>
    </xf>
    <xf numFmtId="0" fontId="15" fillId="0" borderId="15" xfId="7" applyFont="1" applyBorder="1" applyAlignment="1" applyProtection="1">
      <alignment horizontal="justify" vertical="center" wrapText="1"/>
      <protection hidden="1"/>
    </xf>
    <xf numFmtId="177" fontId="33" fillId="0" borderId="0" xfId="6" applyNumberFormat="1" applyFont="1" applyAlignment="1" applyProtection="1">
      <alignment horizontal="right" vertical="center" wrapText="1"/>
      <protection hidden="1"/>
    </xf>
    <xf numFmtId="164" fontId="33" fillId="0" borderId="15" xfId="6" applyNumberFormat="1" applyFont="1" applyBorder="1" applyAlignment="1" applyProtection="1">
      <alignment horizontal="left" vertical="center" wrapText="1"/>
      <protection hidden="1"/>
    </xf>
    <xf numFmtId="0" fontId="2" fillId="0" borderId="0" xfId="0" applyFont="1" applyProtection="1">
      <protection hidden="1"/>
    </xf>
    <xf numFmtId="0" fontId="2" fillId="4" borderId="0" xfId="0" applyFont="1" applyFill="1" applyAlignment="1" applyProtection="1">
      <alignment horizontal="center"/>
      <protection hidden="1"/>
    </xf>
    <xf numFmtId="0" fontId="4" fillId="0" borderId="0" xfId="0" applyFont="1" applyAlignment="1" applyProtection="1">
      <alignment horizontal="left"/>
      <protection hidden="1"/>
    </xf>
    <xf numFmtId="0" fontId="35" fillId="16" borderId="1" xfId="7" applyFont="1" applyFill="1" applyBorder="1" applyAlignment="1" applyProtection="1">
      <alignment vertical="center" wrapText="1"/>
      <protection hidden="1"/>
    </xf>
    <xf numFmtId="0" fontId="35" fillId="18" borderId="15" xfId="7" applyFont="1" applyFill="1" applyBorder="1" applyAlignment="1" applyProtection="1">
      <alignment vertical="center" wrapText="1"/>
      <protection hidden="1"/>
    </xf>
    <xf numFmtId="0" fontId="39" fillId="0" borderId="0" xfId="0" applyFont="1" applyProtection="1">
      <protection hidden="1"/>
    </xf>
    <xf numFmtId="0" fontId="0" fillId="0" borderId="15" xfId="0" applyBorder="1" applyProtection="1">
      <protection hidden="1"/>
    </xf>
    <xf numFmtId="10" fontId="0" fillId="0" borderId="0" xfId="3" applyNumberFormat="1" applyFont="1" applyProtection="1">
      <protection hidden="1"/>
    </xf>
    <xf numFmtId="9" fontId="0" fillId="0" borderId="0" xfId="0" applyNumberFormat="1" applyProtection="1">
      <protection hidden="1"/>
    </xf>
    <xf numFmtId="165" fontId="0" fillId="0" borderId="0" xfId="0" applyNumberFormat="1" applyProtection="1">
      <protection hidden="1"/>
    </xf>
    <xf numFmtId="44" fontId="5" fillId="0" borderId="0" xfId="2" applyFont="1" applyFill="1" applyAlignment="1" applyProtection="1">
      <alignment horizontal="center"/>
      <protection hidden="1"/>
    </xf>
    <xf numFmtId="0" fontId="3" fillId="15" borderId="0" xfId="0" applyFont="1" applyFill="1" applyAlignment="1" applyProtection="1">
      <alignment horizontal="center"/>
      <protection locked="0" hidden="1"/>
    </xf>
    <xf numFmtId="10" fontId="10" fillId="5" borderId="0" xfId="3" applyNumberFormat="1" applyFont="1" applyFill="1" applyAlignment="1" applyProtection="1">
      <alignment horizontal="center" vertical="center"/>
      <protection locked="0" hidden="1"/>
    </xf>
    <xf numFmtId="0" fontId="5" fillId="2" borderId="0" xfId="0" applyFont="1" applyFill="1" applyAlignment="1" applyProtection="1">
      <alignment horizontal="center"/>
      <protection locked="0" hidden="1"/>
    </xf>
    <xf numFmtId="0" fontId="5" fillId="2" borderId="0" xfId="0" applyFont="1" applyFill="1" applyAlignment="1" applyProtection="1">
      <alignment horizontal="center"/>
      <protection hidden="1"/>
    </xf>
    <xf numFmtId="44" fontId="5" fillId="2" borderId="0" xfId="2" applyFont="1" applyFill="1" applyAlignment="1" applyProtection="1">
      <alignment horizontal="center"/>
      <protection locked="0" hidden="1"/>
    </xf>
    <xf numFmtId="0" fontId="3" fillId="0" borderId="0" xfId="0" applyFont="1" applyAlignment="1" applyProtection="1">
      <alignment horizontal="center" vertical="center" wrapText="1"/>
      <protection hidden="1"/>
    </xf>
    <xf numFmtId="0" fontId="19" fillId="0" borderId="0" xfId="0" applyFont="1" applyAlignment="1" applyProtection="1">
      <alignment horizontal="center"/>
      <protection hidden="1"/>
    </xf>
    <xf numFmtId="0" fontId="2" fillId="0" borderId="18" xfId="0" applyFont="1" applyBorder="1" applyAlignment="1" applyProtection="1">
      <alignment horizontal="center"/>
      <protection hidden="1"/>
    </xf>
    <xf numFmtId="0" fontId="3" fillId="15" borderId="0" xfId="0" applyFont="1" applyFill="1" applyAlignment="1" applyProtection="1">
      <alignment horizontal="center"/>
      <protection locked="0" hidden="1"/>
    </xf>
    <xf numFmtId="0" fontId="3" fillId="0" borderId="6" xfId="0" applyFont="1" applyBorder="1" applyAlignment="1" applyProtection="1">
      <alignment horizontal="center"/>
      <protection hidden="1"/>
    </xf>
    <xf numFmtId="0" fontId="10" fillId="0" borderId="0" xfId="0" applyFont="1" applyAlignment="1" applyProtection="1">
      <alignment horizontal="right"/>
      <protection hidden="1"/>
    </xf>
    <xf numFmtId="4" fontId="10" fillId="0" borderId="0" xfId="0" applyNumberFormat="1" applyFont="1" applyAlignment="1" applyProtection="1">
      <alignment horizontal="left"/>
      <protection hidden="1"/>
    </xf>
    <xf numFmtId="0" fontId="8" fillId="3" borderId="0" xfId="0" applyFont="1" applyFill="1" applyAlignment="1" applyProtection="1">
      <alignment horizontal="center"/>
      <protection hidden="1"/>
    </xf>
    <xf numFmtId="0" fontId="10" fillId="2" borderId="1" xfId="0" applyFont="1" applyFill="1" applyBorder="1" applyAlignment="1" applyProtection="1">
      <alignment horizontal="right"/>
      <protection hidden="1"/>
    </xf>
    <xf numFmtId="0" fontId="10" fillId="5" borderId="2" xfId="0" applyFont="1" applyFill="1" applyBorder="1" applyAlignment="1" applyProtection="1">
      <alignment horizontal="center" vertical="center"/>
      <protection locked="0" hidden="1"/>
    </xf>
    <xf numFmtId="0" fontId="10" fillId="5" borderId="3" xfId="0" applyFont="1" applyFill="1" applyBorder="1" applyAlignment="1" applyProtection="1">
      <alignment horizontal="center" vertical="center"/>
      <protection locked="0" hidden="1"/>
    </xf>
    <xf numFmtId="9" fontId="5" fillId="2" borderId="0" xfId="3" applyFont="1" applyFill="1" applyAlignment="1" applyProtection="1">
      <alignment horizontal="center"/>
      <protection locked="0" hidden="1"/>
    </xf>
    <xf numFmtId="10" fontId="6" fillId="2" borderId="0" xfId="3" applyNumberFormat="1" applyFont="1" applyFill="1" applyAlignment="1" applyProtection="1">
      <alignment horizontal="center"/>
      <protection locked="0" hidden="1"/>
    </xf>
    <xf numFmtId="164" fontId="4" fillId="0" borderId="0" xfId="0" applyNumberFormat="1" applyFont="1" applyAlignment="1" applyProtection="1">
      <alignment horizontal="center"/>
      <protection locked="0" hidden="1"/>
    </xf>
    <xf numFmtId="0" fontId="2" fillId="0" borderId="0" xfId="0" applyFont="1" applyAlignment="1" applyProtection="1">
      <alignment horizontal="center"/>
      <protection hidden="1"/>
    </xf>
    <xf numFmtId="0" fontId="4" fillId="0" borderId="0" xfId="0" applyFont="1" applyAlignment="1" applyProtection="1">
      <alignment horizontal="center"/>
      <protection hidden="1"/>
    </xf>
    <xf numFmtId="0" fontId="2" fillId="14" borderId="2" xfId="0" applyFont="1" applyFill="1" applyBorder="1" applyAlignment="1" applyProtection="1">
      <alignment horizontal="center" vertical="center"/>
      <protection hidden="1"/>
    </xf>
    <xf numFmtId="0" fontId="2" fillId="14" borderId="1" xfId="0" applyFont="1" applyFill="1" applyBorder="1" applyAlignment="1" applyProtection="1">
      <alignment horizontal="center" vertical="center"/>
      <protection hidden="1"/>
    </xf>
    <xf numFmtId="0" fontId="2" fillId="14" borderId="3" xfId="0" applyFont="1" applyFill="1" applyBorder="1" applyAlignment="1" applyProtection="1">
      <alignment horizontal="center" vertical="center"/>
      <protection hidden="1"/>
    </xf>
    <xf numFmtId="0" fontId="5" fillId="0" borderId="0" xfId="0" applyFont="1" applyAlignment="1" applyProtection="1">
      <alignment horizontal="left" vertical="center" wrapText="1"/>
      <protection hidden="1"/>
    </xf>
    <xf numFmtId="0" fontId="32" fillId="0" borderId="11" xfId="6" applyFont="1" applyBorder="1" applyAlignment="1" applyProtection="1">
      <alignment horizontal="center" vertical="center" wrapText="1"/>
      <protection hidden="1"/>
    </xf>
    <xf numFmtId="0" fontId="32" fillId="0" borderId="12" xfId="6" applyFont="1" applyBorder="1" applyAlignment="1" applyProtection="1">
      <alignment horizontal="center" vertical="center" wrapText="1"/>
      <protection hidden="1"/>
    </xf>
    <xf numFmtId="0" fontId="32" fillId="0" borderId="13" xfId="6" applyFont="1" applyBorder="1" applyAlignment="1" applyProtection="1">
      <alignment horizontal="center" vertical="center" wrapText="1"/>
      <protection hidden="1"/>
    </xf>
    <xf numFmtId="0" fontId="33" fillId="16" borderId="31" xfId="7" applyFont="1" applyFill="1" applyBorder="1" applyAlignment="1" applyProtection="1">
      <alignment horizontal="right" vertical="center"/>
      <protection hidden="1"/>
    </xf>
    <xf numFmtId="0" fontId="33" fillId="16" borderId="1" xfId="7" applyFont="1" applyFill="1" applyBorder="1" applyAlignment="1" applyProtection="1">
      <alignment horizontal="right" vertical="center"/>
      <protection hidden="1"/>
    </xf>
    <xf numFmtId="0" fontId="15" fillId="18" borderId="14" xfId="6" applyFont="1" applyFill="1" applyBorder="1" applyAlignment="1" applyProtection="1">
      <alignment horizontal="justify" vertical="center" wrapText="1"/>
      <protection hidden="1"/>
    </xf>
    <xf numFmtId="0" fontId="15" fillId="18" borderId="0" xfId="6" applyFont="1" applyFill="1" applyAlignment="1" applyProtection="1">
      <alignment horizontal="justify" vertical="center" wrapText="1"/>
      <protection hidden="1"/>
    </xf>
    <xf numFmtId="0" fontId="15" fillId="18" borderId="15" xfId="6" applyFont="1" applyFill="1" applyBorder="1" applyAlignment="1" applyProtection="1">
      <alignment horizontal="justify" vertical="center" wrapText="1"/>
      <protection hidden="1"/>
    </xf>
    <xf numFmtId="0" fontId="35" fillId="18" borderId="14" xfId="7" applyFont="1" applyFill="1" applyBorder="1" applyAlignment="1" applyProtection="1">
      <alignment horizontal="center" vertical="center"/>
      <protection hidden="1"/>
    </xf>
    <xf numFmtId="0" fontId="35" fillId="18" borderId="0" xfId="7" applyFont="1" applyFill="1" applyAlignment="1" applyProtection="1">
      <alignment horizontal="center" vertical="center"/>
      <protection hidden="1"/>
    </xf>
    <xf numFmtId="0" fontId="35" fillId="18" borderId="0" xfId="7" applyFont="1" applyFill="1" applyAlignment="1" applyProtection="1">
      <alignment horizontal="justify" vertical="center"/>
      <protection hidden="1"/>
    </xf>
    <xf numFmtId="0" fontId="35" fillId="18" borderId="15" xfId="7" applyFont="1" applyFill="1" applyBorder="1" applyAlignment="1" applyProtection="1">
      <alignment horizontal="justify" vertical="center"/>
      <protection hidden="1"/>
    </xf>
    <xf numFmtId="0" fontId="15" fillId="18" borderId="14" xfId="4" applyFont="1" applyFill="1" applyBorder="1" applyAlignment="1" applyProtection="1">
      <alignment horizontal="justify" vertical="center" wrapText="1"/>
      <protection hidden="1"/>
    </xf>
    <xf numFmtId="0" fontId="15" fillId="18" borderId="0" xfId="4" applyFont="1" applyFill="1" applyAlignment="1" applyProtection="1">
      <alignment horizontal="justify" vertical="center" wrapText="1"/>
      <protection hidden="1"/>
    </xf>
    <xf numFmtId="0" fontId="15" fillId="18" borderId="15" xfId="4" applyFont="1" applyFill="1" applyBorder="1" applyAlignment="1" applyProtection="1">
      <alignment horizontal="justify" vertical="center" wrapText="1"/>
      <protection hidden="1"/>
    </xf>
    <xf numFmtId="0" fontId="32" fillId="17" borderId="33" xfId="6" applyFont="1" applyFill="1" applyBorder="1" applyAlignment="1" applyProtection="1">
      <alignment horizontal="left" vertical="center" wrapText="1"/>
      <protection hidden="1"/>
    </xf>
    <xf numFmtId="0" fontId="32" fillId="17" borderId="4" xfId="6" applyFont="1" applyFill="1" applyBorder="1" applyAlignment="1" applyProtection="1">
      <alignment horizontal="left" vertical="center" wrapText="1"/>
      <protection hidden="1"/>
    </xf>
    <xf numFmtId="0" fontId="32" fillId="17" borderId="19" xfId="6" applyFont="1" applyFill="1" applyBorder="1" applyAlignment="1" applyProtection="1">
      <alignment horizontal="left" vertical="center" wrapText="1"/>
      <protection hidden="1"/>
    </xf>
    <xf numFmtId="0" fontId="32" fillId="17" borderId="34" xfId="6" applyFont="1" applyFill="1" applyBorder="1" applyAlignment="1" applyProtection="1">
      <alignment horizontal="left" vertical="center" wrapText="1"/>
      <protection hidden="1"/>
    </xf>
    <xf numFmtId="0" fontId="15" fillId="18" borderId="4" xfId="6" applyFont="1" applyFill="1" applyBorder="1" applyAlignment="1" applyProtection="1">
      <alignment horizontal="left" vertical="center" wrapText="1"/>
      <protection hidden="1"/>
    </xf>
    <xf numFmtId="0" fontId="15" fillId="18" borderId="38" xfId="6" applyFont="1" applyFill="1" applyBorder="1" applyAlignment="1" applyProtection="1">
      <alignment horizontal="left" vertical="center" wrapText="1"/>
      <protection hidden="1"/>
    </xf>
    <xf numFmtId="0" fontId="32" fillId="17" borderId="31" xfId="6" applyFont="1" applyFill="1" applyBorder="1" applyAlignment="1" applyProtection="1">
      <alignment horizontal="left" vertical="center" wrapText="1"/>
      <protection hidden="1"/>
    </xf>
    <xf numFmtId="0" fontId="32" fillId="17" borderId="3" xfId="6" applyFont="1" applyFill="1" applyBorder="1" applyAlignment="1" applyProtection="1">
      <alignment horizontal="left" vertical="center" wrapText="1"/>
      <protection hidden="1"/>
    </xf>
    <xf numFmtId="0" fontId="36" fillId="16" borderId="2" xfId="6" applyFont="1" applyFill="1" applyBorder="1" applyAlignment="1" applyProtection="1">
      <alignment horizontal="center" vertical="center" wrapText="1"/>
      <protection hidden="1"/>
    </xf>
    <xf numFmtId="0" fontId="36" fillId="16" borderId="32" xfId="6" applyFont="1" applyFill="1" applyBorder="1" applyAlignment="1" applyProtection="1">
      <alignment horizontal="center" vertical="center" wrapText="1"/>
      <protection hidden="1"/>
    </xf>
    <xf numFmtId="167" fontId="37" fillId="18" borderId="19" xfId="8" applyNumberFormat="1" applyFont="1" applyFill="1" applyBorder="1" applyAlignment="1" applyProtection="1">
      <alignment horizontal="center" vertical="center" wrapText="1"/>
      <protection hidden="1"/>
    </xf>
    <xf numFmtId="167" fontId="37" fillId="18" borderId="25" xfId="8" applyNumberFormat="1" applyFont="1" applyFill="1" applyBorder="1" applyAlignment="1" applyProtection="1">
      <alignment horizontal="center" vertical="center" wrapText="1"/>
      <protection hidden="1"/>
    </xf>
    <xf numFmtId="167" fontId="37" fillId="18" borderId="28" xfId="8" applyNumberFormat="1" applyFont="1" applyFill="1" applyBorder="1" applyAlignment="1" applyProtection="1">
      <alignment horizontal="center" vertical="center" wrapText="1"/>
      <protection hidden="1"/>
    </xf>
    <xf numFmtId="0" fontId="38" fillId="0" borderId="34" xfId="6" applyFont="1" applyBorder="1" applyAlignment="1" applyProtection="1">
      <alignment horizontal="center" vertical="center" wrapText="1"/>
      <protection hidden="1"/>
    </xf>
    <xf numFmtId="0" fontId="38" fillId="0" borderId="15" xfId="6" applyFont="1" applyBorder="1" applyAlignment="1" applyProtection="1">
      <alignment horizontal="center" vertical="center" wrapText="1"/>
      <protection hidden="1"/>
    </xf>
    <xf numFmtId="0" fontId="38" fillId="0" borderId="37" xfId="6" applyFont="1" applyBorder="1" applyAlignment="1" applyProtection="1">
      <alignment horizontal="center" vertical="center" wrapText="1"/>
      <protection hidden="1"/>
    </xf>
    <xf numFmtId="0" fontId="32" fillId="17" borderId="2" xfId="6" applyFont="1" applyFill="1" applyBorder="1" applyAlignment="1" applyProtection="1">
      <alignment horizontal="center" vertical="center" wrapText="1"/>
      <protection hidden="1"/>
    </xf>
    <xf numFmtId="0" fontId="32" fillId="17" borderId="32" xfId="6" applyFont="1" applyFill="1" applyBorder="1" applyAlignment="1" applyProtection="1">
      <alignment horizontal="center" vertical="center" wrapText="1"/>
      <protection hidden="1"/>
    </xf>
    <xf numFmtId="40" fontId="15" fillId="18" borderId="25" xfId="6" quotePrefix="1" applyNumberFormat="1" applyFont="1" applyFill="1" applyBorder="1" applyAlignment="1" applyProtection="1">
      <alignment horizontal="left" vertical="center" wrapText="1"/>
      <protection hidden="1"/>
    </xf>
    <xf numFmtId="165" fontId="33" fillId="18" borderId="34" xfId="9" quotePrefix="1" applyNumberFormat="1" applyFont="1" applyFill="1" applyBorder="1" applyAlignment="1" applyProtection="1">
      <alignment horizontal="left" vertical="center" wrapText="1" indent="2"/>
      <protection hidden="1"/>
    </xf>
    <xf numFmtId="165" fontId="0" fillId="0" borderId="37" xfId="0" applyNumberFormat="1" applyBorder="1" applyAlignment="1" applyProtection="1">
      <alignment horizontal="left" vertical="center" wrapText="1" indent="2"/>
      <protection hidden="1"/>
    </xf>
    <xf numFmtId="0" fontId="15" fillId="0" borderId="35" xfId="6" applyFont="1" applyBorder="1" applyAlignment="1" applyProtection="1">
      <alignment horizontal="left" vertical="center" wrapText="1"/>
      <protection hidden="1"/>
    </xf>
    <xf numFmtId="0" fontId="15" fillId="0" borderId="39" xfId="6" applyFont="1" applyBorder="1" applyAlignment="1" applyProtection="1">
      <alignment horizontal="left" vertical="center" wrapText="1"/>
      <protection hidden="1"/>
    </xf>
    <xf numFmtId="165" fontId="33" fillId="18" borderId="36" xfId="9" quotePrefix="1" applyNumberFormat="1" applyFont="1" applyFill="1" applyBorder="1" applyAlignment="1" applyProtection="1">
      <alignment horizontal="left" vertical="center" wrapText="1"/>
      <protection hidden="1"/>
    </xf>
    <xf numFmtId="0" fontId="0" fillId="0" borderId="40" xfId="0" applyBorder="1" applyAlignment="1" applyProtection="1">
      <alignment horizontal="left" vertical="center" wrapText="1"/>
      <protection hidden="1"/>
    </xf>
    <xf numFmtId="0" fontId="15" fillId="0" borderId="2" xfId="6" applyFont="1" applyBorder="1" applyAlignment="1" applyProtection="1">
      <alignment horizontal="left" vertical="center" wrapText="1"/>
      <protection hidden="1"/>
    </xf>
    <xf numFmtId="0" fontId="15" fillId="0" borderId="32" xfId="6" applyFont="1" applyBorder="1" applyAlignment="1" applyProtection="1">
      <alignment horizontal="left" vertical="center" wrapText="1"/>
      <protection hidden="1"/>
    </xf>
    <xf numFmtId="0" fontId="15" fillId="0" borderId="4" xfId="6" applyFont="1" applyBorder="1" applyAlignment="1" applyProtection="1">
      <alignment horizontal="left" vertical="center" wrapText="1"/>
      <protection hidden="1"/>
    </xf>
    <xf numFmtId="0" fontId="15" fillId="0" borderId="38" xfId="6" applyFont="1" applyBorder="1" applyAlignment="1" applyProtection="1">
      <alignment horizontal="left" vertical="center" wrapText="1"/>
      <protection hidden="1"/>
    </xf>
    <xf numFmtId="0" fontId="15" fillId="0" borderId="33" xfId="6" applyFont="1" applyBorder="1" applyAlignment="1" applyProtection="1">
      <alignment horizontal="left" vertical="center" wrapText="1"/>
      <protection hidden="1"/>
    </xf>
    <xf numFmtId="0" fontId="33" fillId="0" borderId="4" xfId="6" applyFont="1" applyBorder="1" applyAlignment="1" applyProtection="1">
      <alignment horizontal="left" vertical="center" wrapText="1"/>
      <protection hidden="1"/>
    </xf>
    <xf numFmtId="165" fontId="15" fillId="18" borderId="38" xfId="8" quotePrefix="1" applyNumberFormat="1" applyFont="1" applyFill="1" applyBorder="1" applyAlignment="1" applyProtection="1">
      <alignment horizontal="left" vertical="center" wrapText="1"/>
      <protection hidden="1"/>
    </xf>
    <xf numFmtId="165" fontId="0" fillId="0" borderId="38" xfId="0" applyNumberFormat="1" applyBorder="1" applyAlignment="1" applyProtection="1">
      <alignment horizontal="left" vertical="center" wrapText="1"/>
      <protection hidden="1"/>
    </xf>
    <xf numFmtId="0" fontId="15" fillId="0" borderId="4" xfId="6" applyFont="1" applyBorder="1" applyAlignment="1" applyProtection="1">
      <alignment horizontal="center" vertical="center" wrapText="1"/>
      <protection hidden="1"/>
    </xf>
    <xf numFmtId="0" fontId="15" fillId="0" borderId="38" xfId="6" applyFont="1" applyBorder="1" applyAlignment="1" applyProtection="1">
      <alignment horizontal="center" vertical="center" wrapText="1"/>
      <protection hidden="1"/>
    </xf>
    <xf numFmtId="0" fontId="15" fillId="18" borderId="14" xfId="6" applyFont="1" applyFill="1" applyBorder="1" applyAlignment="1" applyProtection="1">
      <alignment horizontal="left" vertical="center" wrapText="1"/>
      <protection hidden="1"/>
    </xf>
    <xf numFmtId="0" fontId="15" fillId="18" borderId="0" xfId="6" applyFont="1" applyFill="1" applyAlignment="1" applyProtection="1">
      <alignment horizontal="left" vertical="center" wrapText="1"/>
      <protection hidden="1"/>
    </xf>
    <xf numFmtId="0" fontId="15" fillId="18" borderId="15" xfId="6" applyFont="1" applyFill="1" applyBorder="1" applyAlignment="1" applyProtection="1">
      <alignment horizontal="left" vertical="center" wrapText="1"/>
      <protection hidden="1"/>
    </xf>
    <xf numFmtId="0" fontId="32" fillId="18" borderId="31" xfId="6" applyFont="1" applyFill="1" applyBorder="1" applyAlignment="1" applyProtection="1">
      <alignment horizontal="justify" vertical="center" wrapText="1"/>
      <protection hidden="1"/>
    </xf>
    <xf numFmtId="0" fontId="32" fillId="18" borderId="1" xfId="6" applyFont="1" applyFill="1" applyBorder="1" applyAlignment="1" applyProtection="1">
      <alignment horizontal="justify" vertical="center" wrapText="1"/>
      <protection hidden="1"/>
    </xf>
    <xf numFmtId="0" fontId="32" fillId="18" borderId="32" xfId="6" applyFont="1" applyFill="1" applyBorder="1" applyAlignment="1" applyProtection="1">
      <alignment horizontal="justify" vertical="center" wrapText="1"/>
      <protection hidden="1"/>
    </xf>
    <xf numFmtId="0" fontId="15" fillId="18" borderId="14" xfId="7" applyFont="1" applyFill="1" applyBorder="1" applyAlignment="1" applyProtection="1">
      <alignment horizontal="justify" vertical="top" wrapText="1"/>
      <protection hidden="1"/>
    </xf>
    <xf numFmtId="0" fontId="15" fillId="18" borderId="0" xfId="7" applyFont="1" applyFill="1" applyAlignment="1" applyProtection="1">
      <alignment horizontal="justify" vertical="top" wrapText="1"/>
      <protection hidden="1"/>
    </xf>
    <xf numFmtId="0" fontId="15" fillId="18" borderId="15" xfId="7" applyFont="1" applyFill="1" applyBorder="1" applyAlignment="1" applyProtection="1">
      <alignment horizontal="justify" vertical="top" wrapText="1"/>
      <protection hidden="1"/>
    </xf>
    <xf numFmtId="0" fontId="5" fillId="18" borderId="0" xfId="4" applyFill="1" applyAlignment="1" applyProtection="1">
      <alignment horizontal="justify" vertical="top"/>
      <protection hidden="1"/>
    </xf>
    <xf numFmtId="0" fontId="5" fillId="18" borderId="15" xfId="4" applyFill="1" applyBorder="1" applyAlignment="1" applyProtection="1">
      <alignment horizontal="justify" vertical="top"/>
      <protection hidden="1"/>
    </xf>
    <xf numFmtId="0" fontId="5" fillId="18" borderId="14" xfId="4" applyFill="1" applyBorder="1" applyAlignment="1" applyProtection="1">
      <alignment horizontal="justify" vertical="top"/>
      <protection hidden="1"/>
    </xf>
    <xf numFmtId="0" fontId="15" fillId="0" borderId="41" xfId="6" applyFont="1" applyBorder="1" applyAlignment="1" applyProtection="1">
      <alignment horizontal="left" vertical="center" wrapText="1"/>
      <protection hidden="1"/>
    </xf>
    <xf numFmtId="0" fontId="15" fillId="0" borderId="36" xfId="9" applyNumberFormat="1" applyFont="1" applyFill="1" applyBorder="1" applyAlignment="1" applyProtection="1">
      <alignment horizontal="left" vertical="center" wrapText="1"/>
      <protection hidden="1"/>
    </xf>
    <xf numFmtId="0" fontId="15" fillId="0" borderId="42" xfId="9" applyNumberFormat="1" applyFont="1" applyFill="1" applyBorder="1" applyAlignment="1" applyProtection="1">
      <alignment horizontal="left" vertical="center" wrapText="1"/>
      <protection hidden="1"/>
    </xf>
    <xf numFmtId="0" fontId="15" fillId="18" borderId="14" xfId="6" applyFont="1" applyFill="1" applyBorder="1" applyAlignment="1" applyProtection="1">
      <alignment vertical="top" wrapText="1"/>
      <protection hidden="1"/>
    </xf>
    <xf numFmtId="0" fontId="15" fillId="18" borderId="0" xfId="6" applyFont="1" applyFill="1" applyAlignment="1" applyProtection="1">
      <alignment vertical="top" wrapText="1"/>
      <protection hidden="1"/>
    </xf>
    <xf numFmtId="0" fontId="15" fillId="18" borderId="15" xfId="6" applyFont="1" applyFill="1" applyBorder="1" applyAlignment="1" applyProtection="1">
      <alignment vertical="top" wrapText="1"/>
      <protection hidden="1"/>
    </xf>
    <xf numFmtId="0" fontId="15" fillId="0" borderId="14" xfId="7" applyFont="1" applyBorder="1" applyAlignment="1" applyProtection="1">
      <alignment horizontal="justify" vertical="top" wrapText="1"/>
      <protection hidden="1"/>
    </xf>
    <xf numFmtId="0" fontId="15" fillId="0" borderId="0" xfId="7" applyFont="1" applyAlignment="1" applyProtection="1">
      <alignment horizontal="justify" vertical="top" wrapText="1"/>
      <protection hidden="1"/>
    </xf>
    <xf numFmtId="0" fontId="15" fillId="0" borderId="15" xfId="7" applyFont="1" applyBorder="1" applyAlignment="1" applyProtection="1">
      <alignment horizontal="justify" vertical="top" wrapText="1"/>
      <protection hidden="1"/>
    </xf>
    <xf numFmtId="0" fontId="15" fillId="0" borderId="14" xfId="7" applyFont="1" applyBorder="1" applyAlignment="1" applyProtection="1">
      <alignment vertical="top" wrapText="1"/>
      <protection hidden="1"/>
    </xf>
    <xf numFmtId="0" fontId="0" fillId="0" borderId="0" xfId="0" applyAlignment="1" applyProtection="1">
      <alignment vertical="top" wrapText="1"/>
      <protection hidden="1"/>
    </xf>
    <xf numFmtId="0" fontId="0" fillId="0" borderId="15" xfId="0" applyBorder="1" applyAlignment="1" applyProtection="1">
      <alignment vertical="top" wrapText="1"/>
      <protection hidden="1"/>
    </xf>
    <xf numFmtId="0" fontId="0" fillId="0" borderId="14" xfId="0" applyBorder="1" applyAlignment="1" applyProtection="1">
      <alignment vertical="top" wrapText="1"/>
      <protection hidden="1"/>
    </xf>
    <xf numFmtId="0" fontId="0" fillId="0" borderId="44" xfId="0" applyBorder="1" applyAlignment="1" applyProtection="1">
      <alignment vertical="top" wrapText="1"/>
      <protection hidden="1"/>
    </xf>
    <xf numFmtId="0" fontId="0" fillId="0" borderId="6" xfId="0" applyBorder="1" applyAlignment="1" applyProtection="1">
      <alignment vertical="top" wrapText="1"/>
      <protection hidden="1"/>
    </xf>
    <xf numFmtId="0" fontId="0" fillId="0" borderId="37" xfId="0" applyBorder="1" applyAlignment="1" applyProtection="1">
      <alignment vertical="top" wrapText="1"/>
      <protection hidden="1"/>
    </xf>
    <xf numFmtId="0" fontId="32" fillId="18" borderId="14" xfId="4" applyFont="1" applyFill="1" applyBorder="1" applyAlignment="1" applyProtection="1">
      <alignment horizontal="justify" vertical="center" wrapText="1"/>
      <protection hidden="1"/>
    </xf>
    <xf numFmtId="0" fontId="32" fillId="18" borderId="0" xfId="4" applyFont="1" applyFill="1" applyAlignment="1" applyProtection="1">
      <alignment horizontal="justify" vertical="center" wrapText="1"/>
      <protection hidden="1"/>
    </xf>
    <xf numFmtId="0" fontId="32" fillId="18" borderId="15" xfId="4" applyFont="1" applyFill="1" applyBorder="1" applyAlignment="1" applyProtection="1">
      <alignment horizontal="justify" vertical="center" wrapText="1"/>
      <protection hidden="1"/>
    </xf>
    <xf numFmtId="0" fontId="32" fillId="18" borderId="44" xfId="4" applyFont="1" applyFill="1" applyBorder="1" applyAlignment="1" applyProtection="1">
      <alignment horizontal="justify" vertical="center" wrapText="1"/>
      <protection hidden="1"/>
    </xf>
    <xf numFmtId="0" fontId="32" fillId="18" borderId="6" xfId="4" applyFont="1" applyFill="1" applyBorder="1" applyAlignment="1" applyProtection="1">
      <alignment horizontal="justify" vertical="center" wrapText="1"/>
      <protection hidden="1"/>
    </xf>
    <xf numFmtId="0" fontId="32" fillId="18" borderId="37" xfId="4" applyFont="1" applyFill="1" applyBorder="1" applyAlignment="1" applyProtection="1">
      <alignment horizontal="justify" vertical="center" wrapText="1"/>
      <protection hidden="1"/>
    </xf>
    <xf numFmtId="0" fontId="15" fillId="18" borderId="43" xfId="4" applyFont="1" applyFill="1" applyBorder="1" applyAlignment="1" applyProtection="1">
      <alignment horizontal="left" vertical="center" wrapText="1"/>
      <protection hidden="1"/>
    </xf>
    <xf numFmtId="0" fontId="15" fillId="18" borderId="20" xfId="4" applyFont="1" applyFill="1" applyBorder="1" applyAlignment="1" applyProtection="1">
      <alignment horizontal="left" vertical="center" wrapText="1"/>
      <protection hidden="1"/>
    </xf>
    <xf numFmtId="0" fontId="15" fillId="18" borderId="34" xfId="4" applyFont="1" applyFill="1" applyBorder="1" applyAlignment="1" applyProtection="1">
      <alignment horizontal="left" vertical="center" wrapText="1"/>
      <protection hidden="1"/>
    </xf>
    <xf numFmtId="0" fontId="15" fillId="18" borderId="44" xfId="4" applyFont="1" applyFill="1" applyBorder="1" applyAlignment="1" applyProtection="1">
      <alignment horizontal="left" vertical="center" wrapText="1"/>
      <protection hidden="1"/>
    </xf>
    <xf numFmtId="0" fontId="15" fillId="18" borderId="6" xfId="4" applyFont="1" applyFill="1" applyBorder="1" applyAlignment="1" applyProtection="1">
      <alignment horizontal="left" vertical="center" wrapText="1"/>
      <protection hidden="1"/>
    </xf>
    <xf numFmtId="0" fontId="15" fillId="18" borderId="37" xfId="4" applyFont="1" applyFill="1" applyBorder="1" applyAlignment="1" applyProtection="1">
      <alignment horizontal="left" vertical="center" wrapText="1"/>
      <protection hidden="1"/>
    </xf>
    <xf numFmtId="0" fontId="32" fillId="18" borderId="14" xfId="6" applyFont="1" applyFill="1" applyBorder="1" applyAlignment="1" applyProtection="1">
      <alignment horizontal="justify" vertical="center" wrapText="1"/>
      <protection hidden="1"/>
    </xf>
    <xf numFmtId="0" fontId="32" fillId="18" borderId="0" xfId="6" applyFont="1" applyFill="1" applyAlignment="1" applyProtection="1">
      <alignment horizontal="justify" vertical="center" wrapText="1"/>
      <protection hidden="1"/>
    </xf>
    <xf numFmtId="0" fontId="32" fillId="18" borderId="15" xfId="6" applyFont="1" applyFill="1" applyBorder="1" applyAlignment="1" applyProtection="1">
      <alignment horizontal="justify" vertical="center" wrapText="1"/>
      <protection hidden="1"/>
    </xf>
    <xf numFmtId="0" fontId="32" fillId="18" borderId="44" xfId="6" applyFont="1" applyFill="1" applyBorder="1" applyAlignment="1" applyProtection="1">
      <alignment horizontal="justify" vertical="center" wrapText="1"/>
      <protection hidden="1"/>
    </xf>
    <xf numFmtId="0" fontId="32" fillId="18" borderId="6" xfId="6" applyFont="1" applyFill="1" applyBorder="1" applyAlignment="1" applyProtection="1">
      <alignment horizontal="justify" vertical="center" wrapText="1"/>
      <protection hidden="1"/>
    </xf>
    <xf numFmtId="0" fontId="32" fillId="18" borderId="37" xfId="6" applyFont="1" applyFill="1" applyBorder="1" applyAlignment="1" applyProtection="1">
      <alignment horizontal="justify" vertical="center" wrapText="1"/>
      <protection hidden="1"/>
    </xf>
    <xf numFmtId="0" fontId="15" fillId="18" borderId="43" xfId="6" applyFont="1" applyFill="1" applyBorder="1" applyAlignment="1" applyProtection="1">
      <alignment horizontal="justify" vertical="center" wrapText="1"/>
      <protection hidden="1"/>
    </xf>
    <xf numFmtId="0" fontId="15" fillId="18" borderId="20" xfId="6" applyFont="1" applyFill="1" applyBorder="1" applyAlignment="1" applyProtection="1">
      <alignment horizontal="justify" vertical="center" wrapText="1"/>
      <protection hidden="1"/>
    </xf>
    <xf numFmtId="0" fontId="15" fillId="18" borderId="34" xfId="6" applyFont="1" applyFill="1" applyBorder="1" applyAlignment="1" applyProtection="1">
      <alignment horizontal="justify" vertical="center" wrapText="1"/>
      <protection hidden="1"/>
    </xf>
    <xf numFmtId="0" fontId="15" fillId="18" borderId="44" xfId="6" applyFont="1" applyFill="1" applyBorder="1" applyAlignment="1" applyProtection="1">
      <alignment horizontal="justify" vertical="center" wrapText="1"/>
      <protection hidden="1"/>
    </xf>
    <xf numFmtId="0" fontId="15" fillId="18" borderId="6" xfId="6" applyFont="1" applyFill="1" applyBorder="1" applyAlignment="1" applyProtection="1">
      <alignment horizontal="justify" vertical="center" wrapText="1"/>
      <protection hidden="1"/>
    </xf>
    <xf numFmtId="0" fontId="15" fillId="18" borderId="37" xfId="6" applyFont="1" applyFill="1" applyBorder="1" applyAlignment="1" applyProtection="1">
      <alignment horizontal="justify" vertical="center" wrapText="1"/>
      <protection hidden="1"/>
    </xf>
    <xf numFmtId="0" fontId="15" fillId="18" borderId="43" xfId="4" applyFont="1" applyFill="1" applyBorder="1" applyAlignment="1" applyProtection="1">
      <alignment horizontal="justify" vertical="center" wrapText="1"/>
      <protection hidden="1"/>
    </xf>
    <xf numFmtId="0" fontId="15" fillId="18" borderId="20" xfId="4" applyFont="1" applyFill="1" applyBorder="1" applyAlignment="1" applyProtection="1">
      <alignment horizontal="justify" vertical="center" wrapText="1"/>
      <protection hidden="1"/>
    </xf>
    <xf numFmtId="0" fontId="15" fillId="18" borderId="34" xfId="4" applyFont="1" applyFill="1" applyBorder="1" applyAlignment="1" applyProtection="1">
      <alignment horizontal="justify" vertical="center" wrapText="1"/>
      <protection hidden="1"/>
    </xf>
    <xf numFmtId="0" fontId="15" fillId="18" borderId="44" xfId="4" applyFont="1" applyFill="1" applyBorder="1" applyAlignment="1" applyProtection="1">
      <alignment horizontal="justify" vertical="center" wrapText="1"/>
      <protection hidden="1"/>
    </xf>
    <xf numFmtId="0" fontId="15" fillId="18" borderId="6" xfId="4" applyFont="1" applyFill="1" applyBorder="1" applyAlignment="1" applyProtection="1">
      <alignment horizontal="justify" vertical="center" wrapText="1"/>
      <protection hidden="1"/>
    </xf>
    <xf numFmtId="0" fontId="15" fillId="18" borderId="37" xfId="4" applyFont="1" applyFill="1" applyBorder="1" applyAlignment="1" applyProtection="1">
      <alignment horizontal="justify" vertical="center" wrapText="1"/>
      <protection hidden="1"/>
    </xf>
    <xf numFmtId="0" fontId="15" fillId="18" borderId="14" xfId="7" applyFont="1" applyFill="1" applyBorder="1" applyAlignment="1" applyProtection="1">
      <alignment horizontal="justify" vertical="center" wrapText="1"/>
      <protection hidden="1"/>
    </xf>
    <xf numFmtId="0" fontId="15" fillId="18" borderId="0" xfId="7" applyFont="1" applyFill="1" applyAlignment="1" applyProtection="1">
      <alignment horizontal="justify" vertical="center" wrapText="1"/>
      <protection hidden="1"/>
    </xf>
    <xf numFmtId="0" fontId="15" fillId="18" borderId="15" xfId="7" applyFont="1" applyFill="1" applyBorder="1" applyAlignment="1" applyProtection="1">
      <alignment horizontal="justify" vertical="center" wrapText="1"/>
      <protection hidden="1"/>
    </xf>
    <xf numFmtId="0" fontId="15" fillId="18" borderId="14" xfId="6" applyFont="1" applyFill="1" applyBorder="1" applyAlignment="1" applyProtection="1">
      <alignment horizontal="center" vertical="center" wrapText="1"/>
      <protection hidden="1"/>
    </xf>
    <xf numFmtId="0" fontId="15" fillId="18" borderId="0" xfId="6" applyFont="1" applyFill="1" applyAlignment="1" applyProtection="1">
      <alignment horizontal="center" vertical="center" wrapText="1"/>
      <protection hidden="1"/>
    </xf>
    <xf numFmtId="0" fontId="15" fillId="18" borderId="15" xfId="6" applyFont="1" applyFill="1" applyBorder="1" applyAlignment="1" applyProtection="1">
      <alignment horizontal="center" vertical="center" wrapText="1"/>
      <protection hidden="1"/>
    </xf>
    <xf numFmtId="0" fontId="34" fillId="18" borderId="14" xfId="6" applyFont="1" applyFill="1" applyBorder="1" applyAlignment="1" applyProtection="1">
      <alignment horizontal="center" vertical="center" wrapText="1"/>
      <protection hidden="1"/>
    </xf>
    <xf numFmtId="0" fontId="34" fillId="18" borderId="0" xfId="6" applyFont="1" applyFill="1" applyAlignment="1" applyProtection="1">
      <alignment horizontal="center" vertical="center" wrapText="1"/>
      <protection hidden="1"/>
    </xf>
    <xf numFmtId="0" fontId="34" fillId="18" borderId="15" xfId="6" applyFont="1" applyFill="1" applyBorder="1" applyAlignment="1" applyProtection="1">
      <alignment horizontal="center" vertical="center" wrapText="1"/>
      <protection hidden="1"/>
    </xf>
    <xf numFmtId="22" fontId="43" fillId="18" borderId="14" xfId="6" quotePrefix="1" applyNumberFormat="1" applyFont="1" applyFill="1" applyBorder="1" applyAlignment="1" applyProtection="1">
      <alignment horizontal="center" vertical="center" wrapText="1"/>
      <protection hidden="1"/>
    </xf>
    <xf numFmtId="0" fontId="43" fillId="18" borderId="0" xfId="6" applyFont="1" applyFill="1" applyAlignment="1" applyProtection="1">
      <alignment horizontal="center" vertical="center" wrapText="1"/>
      <protection hidden="1"/>
    </xf>
    <xf numFmtId="0" fontId="43" fillId="18" borderId="15" xfId="6" applyFont="1" applyFill="1" applyBorder="1" applyAlignment="1" applyProtection="1">
      <alignment horizontal="center" vertical="center" wrapText="1"/>
      <protection hidden="1"/>
    </xf>
    <xf numFmtId="0" fontId="32" fillId="0" borderId="14" xfId="7" applyFont="1" applyBorder="1" applyAlignment="1" applyProtection="1">
      <alignment horizontal="center" vertical="center" wrapText="1"/>
      <protection hidden="1"/>
    </xf>
    <xf numFmtId="0" fontId="32" fillId="0" borderId="0" xfId="7" applyFont="1" applyAlignment="1" applyProtection="1">
      <alignment horizontal="center" vertical="center" wrapText="1"/>
      <protection hidden="1"/>
    </xf>
    <xf numFmtId="0" fontId="32" fillId="0" borderId="15" xfId="7" applyFont="1" applyBorder="1" applyAlignment="1" applyProtection="1">
      <alignment horizontal="center" vertical="center" wrapText="1"/>
      <protection hidden="1"/>
    </xf>
    <xf numFmtId="0" fontId="15" fillId="0" borderId="14" xfId="7" applyFont="1" applyBorder="1" applyAlignment="1" applyProtection="1">
      <alignment horizontal="justify" vertical="center" wrapText="1"/>
      <protection hidden="1"/>
    </xf>
    <xf numFmtId="0" fontId="15" fillId="0" borderId="0" xfId="7" applyFont="1" applyAlignment="1" applyProtection="1">
      <alignment horizontal="justify" vertical="center" wrapText="1"/>
      <protection hidden="1"/>
    </xf>
    <xf numFmtId="0" fontId="15" fillId="0" borderId="15" xfId="7" applyFont="1" applyBorder="1" applyAlignment="1" applyProtection="1">
      <alignment horizontal="justify" vertical="center" wrapText="1"/>
      <protection hidden="1"/>
    </xf>
    <xf numFmtId="0" fontId="13" fillId="0" borderId="33" xfId="10" applyFont="1" applyBorder="1" applyAlignment="1" applyProtection="1">
      <alignment horizontal="justify" vertical="center" wrapText="1"/>
      <protection hidden="1"/>
    </xf>
    <xf numFmtId="0" fontId="13" fillId="0" borderId="4" xfId="10" applyFont="1" applyBorder="1" applyAlignment="1" applyProtection="1">
      <alignment horizontal="justify" vertical="center" wrapText="1"/>
      <protection hidden="1"/>
    </xf>
    <xf numFmtId="0" fontId="13" fillId="0" borderId="38" xfId="10" applyFont="1" applyBorder="1" applyAlignment="1" applyProtection="1">
      <alignment horizontal="justify" vertical="center" wrapText="1"/>
      <protection hidden="1"/>
    </xf>
    <xf numFmtId="0" fontId="42" fillId="18" borderId="44" xfId="6" applyFont="1" applyFill="1" applyBorder="1" applyAlignment="1" applyProtection="1">
      <alignment horizontal="center" vertical="center" wrapText="1"/>
      <protection hidden="1"/>
    </xf>
    <xf numFmtId="0" fontId="42" fillId="18" borderId="6" xfId="6" applyFont="1" applyFill="1" applyBorder="1" applyAlignment="1" applyProtection="1">
      <alignment horizontal="center" vertical="center" wrapText="1"/>
      <protection hidden="1"/>
    </xf>
    <xf numFmtId="0" fontId="42" fillId="18" borderId="37" xfId="6" applyFont="1" applyFill="1" applyBorder="1" applyAlignment="1" applyProtection="1">
      <alignment horizontal="center" vertical="center" wrapText="1"/>
      <protection hidden="1"/>
    </xf>
    <xf numFmtId="0" fontId="15" fillId="18" borderId="43" xfId="6" applyFont="1" applyFill="1" applyBorder="1" applyAlignment="1" applyProtection="1">
      <alignment horizontal="center" vertical="center" wrapText="1"/>
      <protection hidden="1"/>
    </xf>
    <xf numFmtId="0" fontId="15" fillId="18" borderId="20" xfId="6" applyFont="1" applyFill="1" applyBorder="1" applyAlignment="1" applyProtection="1">
      <alignment horizontal="center" vertical="center" wrapText="1"/>
      <protection hidden="1"/>
    </xf>
    <xf numFmtId="0" fontId="15" fillId="18" borderId="34" xfId="6" applyFont="1" applyFill="1" applyBorder="1" applyAlignment="1" applyProtection="1">
      <alignment horizontal="center" vertical="center" wrapText="1"/>
      <protection hidden="1"/>
    </xf>
    <xf numFmtId="0" fontId="15" fillId="0" borderId="14" xfId="0" applyFont="1" applyBorder="1" applyAlignment="1" applyProtection="1">
      <alignment horizontal="center"/>
      <protection hidden="1"/>
    </xf>
    <xf numFmtId="0" fontId="15" fillId="0" borderId="0" xfId="0" applyFont="1" applyAlignment="1" applyProtection="1">
      <alignment horizontal="center"/>
      <protection hidden="1"/>
    </xf>
    <xf numFmtId="0" fontId="15" fillId="0" borderId="15" xfId="0" applyFont="1" applyBorder="1" applyAlignment="1" applyProtection="1">
      <alignment horizontal="center"/>
      <protection hidden="1"/>
    </xf>
    <xf numFmtId="22" fontId="46" fillId="0" borderId="14" xfId="6" applyNumberFormat="1" applyFont="1" applyBorder="1" applyAlignment="1" applyProtection="1">
      <alignment horizontal="center" vertical="center" wrapText="1"/>
      <protection hidden="1"/>
    </xf>
    <xf numFmtId="22" fontId="46" fillId="0" borderId="0" xfId="6" applyNumberFormat="1" applyFont="1" applyAlignment="1" applyProtection="1">
      <alignment horizontal="center" vertical="center" wrapText="1"/>
      <protection hidden="1"/>
    </xf>
    <xf numFmtId="22" fontId="46" fillId="0" borderId="15" xfId="6" applyNumberFormat="1" applyFont="1" applyBorder="1" applyAlignment="1" applyProtection="1">
      <alignment horizontal="center" vertical="center" wrapText="1"/>
      <protection hidden="1"/>
    </xf>
    <xf numFmtId="0" fontId="15" fillId="0" borderId="16" xfId="0" applyFont="1" applyBorder="1" applyAlignment="1" applyProtection="1">
      <alignment horizontal="center"/>
      <protection hidden="1"/>
    </xf>
    <xf numFmtId="0" fontId="15" fillId="0" borderId="17" xfId="0" applyFont="1" applyBorder="1" applyAlignment="1" applyProtection="1">
      <alignment horizontal="center"/>
      <protection hidden="1"/>
    </xf>
    <xf numFmtId="0" fontId="15" fillId="0" borderId="10" xfId="0" applyFont="1" applyBorder="1" applyAlignment="1" applyProtection="1">
      <alignment horizontal="center"/>
      <protection hidden="1"/>
    </xf>
    <xf numFmtId="0" fontId="0" fillId="0" borderId="0" xfId="0" applyAlignment="1">
      <alignment horizontal="center"/>
    </xf>
  </cellXfs>
  <cellStyles count="12">
    <cellStyle name="Heading 1 2" xfId="5" xr:uid="{C3B8F2A4-4F19-456F-8D0F-0897D03BE2AF}"/>
    <cellStyle name="Hipervínculo_Oferta Vinculante Apoyo Infonavit 030610" xfId="11" xr:uid="{32E380F4-2D4F-4046-BCC7-8E6F5E33DA38}"/>
    <cellStyle name="Millares" xfId="1" builtinId="3"/>
    <cellStyle name="Moneda" xfId="2" builtinId="4"/>
    <cellStyle name="Moneda 2 2" xfId="9" xr:uid="{6ED2ADB7-EBCB-4CA6-BE0E-466C353DD629}"/>
    <cellStyle name="Normal" xfId="0" builtinId="0"/>
    <cellStyle name="Normal 2" xfId="10" xr:uid="{FE8ED069-80A3-4FD9-9364-C0FF26A237AC}"/>
    <cellStyle name="Normal 2 2" xfId="4" xr:uid="{87E1983B-5CE0-4333-AC14-710C133388DF}"/>
    <cellStyle name="Normal_COTIZADOR HIPOTECARIO 270503" xfId="7" xr:uid="{5D26E1A2-B3BF-47CD-A89B-7D6649EDCD72}"/>
    <cellStyle name="Normal_COTIZADOR HIPOTECARIO 270503_Oferta Vinculante Apoyo Infonavit 030610" xfId="6" xr:uid="{37CDAB59-5D66-47D0-9F5A-4563421CB77B}"/>
    <cellStyle name="Porcentaje" xfId="3" builtinId="5"/>
    <cellStyle name="Porcentual 2 2" xfId="8" xr:uid="{F01FE62E-7134-4189-B260-A75739F61185}"/>
  </cellStyles>
  <dxfs count="19">
    <dxf>
      <font>
        <color theme="0" tint="-0.499984740745262"/>
      </font>
    </dxf>
    <dxf>
      <border>
        <left style="thin">
          <color indexed="64"/>
        </left>
        <right style="thin">
          <color indexed="64"/>
        </right>
        <top style="thin">
          <color indexed="64"/>
        </top>
        <bottom style="thin">
          <color indexed="64"/>
        </bottom>
      </border>
    </dxf>
    <dxf>
      <font>
        <color auto="1"/>
      </font>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0" tint="-0.24994659260841701"/>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ont>
        <color rgb="FFFF0000"/>
      </font>
      <fill>
        <patternFill>
          <bgColor rgb="FFFF0000"/>
        </patternFill>
      </fill>
    </dxf>
    <dxf>
      <font>
        <color theme="1"/>
      </font>
      <fill>
        <patternFill>
          <bgColor theme="0" tint="-0.24994659260841701"/>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201083</xdr:colOff>
      <xdr:row>0</xdr:row>
      <xdr:rowOff>116418</xdr:rowOff>
    </xdr:from>
    <xdr:to>
      <xdr:col>4</xdr:col>
      <xdr:colOff>186267</xdr:colOff>
      <xdr:row>2</xdr:row>
      <xdr:rowOff>112185</xdr:rowOff>
    </xdr:to>
    <xdr:pic>
      <xdr:nvPicPr>
        <xdr:cNvPr id="2" name="Imagen 1">
          <a:extLst>
            <a:ext uri="{FF2B5EF4-FFF2-40B4-BE49-F238E27FC236}">
              <a16:creationId xmlns:a16="http://schemas.microsoft.com/office/drawing/2014/main" id="{D5793597-107B-B007-CB07-910F9708BC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0" y="116418"/>
          <a:ext cx="2116667" cy="34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69272</xdr:colOff>
      <xdr:row>0</xdr:row>
      <xdr:rowOff>95251</xdr:rowOff>
    </xdr:from>
    <xdr:to>
      <xdr:col>1</xdr:col>
      <xdr:colOff>1272887</xdr:colOff>
      <xdr:row>2</xdr:row>
      <xdr:rowOff>77932</xdr:rowOff>
    </xdr:to>
    <xdr:pic>
      <xdr:nvPicPr>
        <xdr:cNvPr id="2" name="3 Imagen" descr="C:\Users\a8030769\AppData\Local\Microsoft\Windows\Temporary Internet Files\Content.Outlook\VI5VLAAI\Logo Banorte (2).jpg">
          <a:extLst>
            <a:ext uri="{FF2B5EF4-FFF2-40B4-BE49-F238E27FC236}">
              <a16:creationId xmlns:a16="http://schemas.microsoft.com/office/drawing/2014/main" id="{E1C7A833-4F9F-4059-B238-D32B3E018E5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03" t="25424" r="5817" b="22881"/>
        <a:stretch/>
      </xdr:blipFill>
      <xdr:spPr bwMode="auto">
        <a:xfrm>
          <a:off x="186747" y="95251"/>
          <a:ext cx="1200440" cy="274781"/>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1973096/AppData/Local/Microsoft/Windows/Temporary%20Internet%20Files/Content.Outlook/3AB1KMS3/COTIZADORES/Nuevo%20simulador/Universal%20-%20Fuent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fil%20C%202019/Desktop/COTIZADORES/Simulador%20Desarrolladores/Simulador%20Desarrollador%20Fuerte_Fuente.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Job\Simulador%20Hipotecario\22102024_Simulador_Universal_Hipotecario_Fuente.xlsm" TargetMode="External"/><Relationship Id="rId1" Type="http://schemas.openxmlformats.org/officeDocument/2006/relationships/externalLinkPath" Target="/Job/Simulador%20Hipotecario/22102024_Simulador_Universal_Hipotecario_Fuente.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Job\Simulador%20Hipotecario\15072024_Simulador_Universal_Hipotecario_Fuente_Crediterreno.xlsm" TargetMode="External"/><Relationship Id="rId1" Type="http://schemas.openxmlformats.org/officeDocument/2006/relationships/externalLinkPath" Target="/Job/Simulador%20Hipotecario/15072024_Simulador_Universal_Hipotecario_Fuente_Crediterreno.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1973096/AppData/Local/Microsoft/Windows/Temporary%20Internet%20Files/Content.Outlook/3AB1KMS3/Benchmark/03%20Bancos/Santander/Simulador%20%2018-02-19(1)%20santander.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3655555/Documents/Proyecto%20cotizador%20abierto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erfil%20C%202019/Desktop/Universal%20-%20Fuente%20191119%20Nuevas%20tasa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_Consola"/>
      <sheetName val="CA_Servicios"/>
      <sheetName val="Variantes"/>
      <sheetName val="Datos Generales"/>
      <sheetName val="Datos Tasas"/>
      <sheetName val="Datos Notariales"/>
      <sheetName val="Datos Promociones"/>
      <sheetName val="PASO1"/>
      <sheetName val="PASO2"/>
      <sheetName val="PASO3"/>
      <sheetName val="PASO3a"/>
      <sheetName val="PASO5"/>
      <sheetName val="PASO6"/>
      <sheetName val="PasoSeguros"/>
      <sheetName val="PASO6 APOYO"/>
      <sheetName val="PASO6 COFINAVIT"/>
      <sheetName val="PASO6 FOVISSSTE"/>
      <sheetName val="PASO7 TRAD"/>
      <sheetName val="PasoTasas"/>
      <sheetName val="PasoTasas.Helper"/>
      <sheetName val="Cotización"/>
      <sheetName val="Tabla Cliente"/>
      <sheetName val="Tabla Notaría"/>
      <sheetName val="Oferta Vinculante"/>
      <sheetName val="Promo Activa"/>
      <sheetName val="Aclaraciones"/>
      <sheetName val="Etiquetas"/>
      <sheetName val="Crédito Banorte"/>
      <sheetName val="Tipo_Seguro"/>
      <sheetName val="Pass-Throughs"/>
      <sheetName val="NotasNumeradasOV"/>
      <sheetName val="CAT Flujo Cero"/>
      <sheetName val="CAT Apoyo Infonavit"/>
      <sheetName val="CAT Construcción"/>
      <sheetName val="CAT Pagos Crecientes"/>
      <sheetName val="CAT Tabla Tradicional"/>
      <sheetName val="Comisiones"/>
      <sheetName val="Cofinavit Ingresos Adicionales"/>
      <sheetName val="Destinos"/>
      <sheetName val="DondeCotiza"/>
      <sheetName val="Esquema Especial"/>
      <sheetName val="Fecha Pago"/>
      <sheetName val="COMISIÓN_AVALÚO"/>
      <sheetName val="Gastos Iniciales"/>
      <sheetName val="GASNOT GLUE"/>
      <sheetName val="GASNOT"/>
      <sheetName val="GASNOT.Tarifa"/>
      <sheetName val="IVA"/>
      <sheetName val="Layout"/>
      <sheetName val="Pago Creciente"/>
      <sheetName val="Pagos Anticipados"/>
      <sheetName val="Productos"/>
      <sheetName val="PROPS_MXM"/>
      <sheetName val="TASAS_FUERTE"/>
      <sheetName val="Plazos"/>
      <sheetName val="Rango de Vivienda"/>
      <sheetName val="Salida Cotización"/>
      <sheetName val="Combo_CAT_Remanente"/>
      <sheetName val="Tabla Not Apoyo Infonavit"/>
      <sheetName val="Tabla Not Pagos Crecientes"/>
      <sheetName val="Tabla Not Tradicional"/>
      <sheetName val="Tabla Apoyo Infonavit"/>
      <sheetName val="Tabla Pagos Crecientes"/>
      <sheetName val="Tabla Tradicional"/>
      <sheetName val="Tasa Inicial"/>
      <sheetName val="Tasas"/>
      <sheetName val="Tipo de Crédito"/>
      <sheetName val="Tipo de Simulación"/>
      <sheetName val="UDIS y SM"/>
      <sheetName val="Validaciones"/>
      <sheetName val="Ajustes Subrogación"/>
      <sheetName val="Promos"/>
      <sheetName val="CMS STATE"/>
    </sheetNames>
    <sheetDataSet>
      <sheetData sheetId="0" refreshError="1"/>
      <sheetData sheetId="1" refreshError="1"/>
      <sheetData sheetId="2" refreshError="1">
        <row r="2">
          <cell r="A2" t="str">
            <v>Default</v>
          </cell>
        </row>
        <row r="5">
          <cell r="B5">
            <v>0</v>
          </cell>
          <cell r="C5" t="str">
            <v>Banorte</v>
          </cell>
        </row>
        <row r="7">
          <cell r="A7" t="str">
            <v>Variante</v>
          </cell>
          <cell r="B7" t="str">
            <v>Tipo Promo</v>
          </cell>
          <cell r="C7" t="str">
            <v>Seguro</v>
          </cell>
        </row>
        <row r="8">
          <cell r="A8" t="str">
            <v>Default</v>
          </cell>
          <cell r="B8">
            <v>0</v>
          </cell>
          <cell r="C8" t="str">
            <v>Banorte</v>
          </cell>
        </row>
        <row r="9">
          <cell r="A9" t="str">
            <v>Default Transparencia</v>
          </cell>
          <cell r="B9">
            <v>0</v>
          </cell>
          <cell r="C9" t="str">
            <v>Transparencia</v>
          </cell>
        </row>
        <row r="10">
          <cell r="A10" t="str">
            <v>Promoción General</v>
          </cell>
          <cell r="B10" t="str">
            <v>General</v>
          </cell>
          <cell r="C10">
            <v>0</v>
          </cell>
        </row>
        <row r="11">
          <cell r="A11" t="str">
            <v>Promoción General Transparencia</v>
          </cell>
          <cell r="B11" t="str">
            <v>General</v>
          </cell>
          <cell r="C11" t="str">
            <v>Transparencia</v>
          </cell>
        </row>
        <row r="12">
          <cell r="A12" t="str">
            <v>Preaprobados</v>
          </cell>
          <cell r="B12" t="str">
            <v>Preaprobados</v>
          </cell>
          <cell r="C12">
            <v>0</v>
          </cell>
        </row>
        <row r="13">
          <cell r="A13" t="str">
            <v>Preaprobados Transparencia</v>
          </cell>
          <cell r="B13" t="str">
            <v>Preaprobados</v>
          </cell>
          <cell r="C13" t="str">
            <v>Transparencia</v>
          </cell>
        </row>
        <row r="14">
          <cell r="A14" t="str">
            <v>Con Subrogación</v>
          </cell>
        </row>
      </sheetData>
      <sheetData sheetId="3" refreshError="1">
        <row r="2">
          <cell r="B2" t="str">
            <v>Aguascalientes</v>
          </cell>
        </row>
        <row r="3">
          <cell r="B3" t="str">
            <v>Baja California Norte</v>
          </cell>
        </row>
        <row r="4">
          <cell r="B4" t="str">
            <v>Baja California Sur</v>
          </cell>
        </row>
        <row r="5">
          <cell r="B5" t="str">
            <v>Campeche</v>
          </cell>
        </row>
        <row r="6">
          <cell r="B6" t="str">
            <v>Coahuila</v>
          </cell>
        </row>
        <row r="7">
          <cell r="B7" t="str">
            <v>Colima</v>
          </cell>
        </row>
        <row r="8">
          <cell r="B8" t="str">
            <v>Chiapas</v>
          </cell>
        </row>
        <row r="9">
          <cell r="B9" t="str">
            <v>Chihuahua</v>
          </cell>
        </row>
        <row r="10">
          <cell r="B10" t="str">
            <v>Ciudad de México</v>
          </cell>
        </row>
        <row r="11">
          <cell r="B11" t="str">
            <v>Durango</v>
          </cell>
        </row>
        <row r="12">
          <cell r="B12" t="str">
            <v>Estado de México</v>
          </cell>
        </row>
        <row r="13">
          <cell r="B13" t="str">
            <v>Guanajuato</v>
          </cell>
        </row>
        <row r="14">
          <cell r="B14" t="str">
            <v>Guerrero</v>
          </cell>
        </row>
        <row r="15">
          <cell r="B15" t="str">
            <v>Hidalgo</v>
          </cell>
        </row>
        <row r="16">
          <cell r="B16" t="str">
            <v>Jalisco</v>
          </cell>
        </row>
        <row r="17">
          <cell r="B17" t="str">
            <v>Michoacán</v>
          </cell>
        </row>
        <row r="18">
          <cell r="B18" t="str">
            <v>Morelos</v>
          </cell>
        </row>
        <row r="19">
          <cell r="B19" t="str">
            <v>Nayarit</v>
          </cell>
        </row>
        <row r="20">
          <cell r="B20" t="str">
            <v>Nuevo León</v>
          </cell>
        </row>
        <row r="21">
          <cell r="B21" t="str">
            <v>Oaxaca</v>
          </cell>
        </row>
        <row r="22">
          <cell r="B22" t="str">
            <v>Puebla</v>
          </cell>
        </row>
        <row r="23">
          <cell r="B23" t="str">
            <v>Querétaro</v>
          </cell>
        </row>
        <row r="24">
          <cell r="B24" t="str">
            <v>Quintana Roo</v>
          </cell>
        </row>
        <row r="25">
          <cell r="B25" t="str">
            <v>San Luis Potosí</v>
          </cell>
        </row>
        <row r="26">
          <cell r="B26" t="str">
            <v>Sinaloa</v>
          </cell>
        </row>
        <row r="27">
          <cell r="B27" t="str">
            <v>Sonora</v>
          </cell>
        </row>
        <row r="28">
          <cell r="B28" t="str">
            <v>Tabasco</v>
          </cell>
        </row>
        <row r="29">
          <cell r="B29" t="str">
            <v>Tamaulipas</v>
          </cell>
        </row>
        <row r="30">
          <cell r="B30" t="str">
            <v>Tlaxcala</v>
          </cell>
        </row>
        <row r="31">
          <cell r="B31" t="str">
            <v>Veracruz</v>
          </cell>
        </row>
        <row r="32">
          <cell r="B32" t="str">
            <v>Yucatán</v>
          </cell>
        </row>
        <row r="33">
          <cell r="B33" t="str">
            <v>Zacatecas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
          <cell r="N4" t="str">
            <v>Banorte</v>
          </cell>
        </row>
        <row r="9">
          <cell r="G9">
            <v>2</v>
          </cell>
        </row>
        <row r="11">
          <cell r="G11">
            <v>1</v>
          </cell>
        </row>
        <row r="13">
          <cell r="G13">
            <v>1</v>
          </cell>
        </row>
        <row r="15">
          <cell r="G15">
            <v>2</v>
          </cell>
        </row>
        <row r="17">
          <cell r="G17">
            <v>1</v>
          </cell>
        </row>
        <row r="19">
          <cell r="G19">
            <v>2</v>
          </cell>
        </row>
      </sheetData>
      <sheetData sheetId="14" refreshError="1">
        <row r="5">
          <cell r="M5">
            <v>0.95</v>
          </cell>
        </row>
        <row r="9">
          <cell r="F9">
            <v>7963.2799999999988</v>
          </cell>
        </row>
        <row r="10">
          <cell r="F10">
            <v>1000000</v>
          </cell>
        </row>
        <row r="11">
          <cell r="F11">
            <v>950000</v>
          </cell>
        </row>
      </sheetData>
      <sheetData sheetId="15" refreshError="1">
        <row r="9">
          <cell r="F9">
            <v>7000001</v>
          </cell>
        </row>
        <row r="22">
          <cell r="E22">
            <v>250000</v>
          </cell>
          <cell r="G22">
            <v>0</v>
          </cell>
        </row>
        <row r="23">
          <cell r="E23">
            <v>250000</v>
          </cell>
          <cell r="G23">
            <v>0</v>
          </cell>
        </row>
        <row r="24">
          <cell r="E24">
            <v>250000</v>
          </cell>
          <cell r="G24">
            <v>0</v>
          </cell>
        </row>
        <row r="25">
          <cell r="E25">
            <v>1</v>
          </cell>
          <cell r="G25">
            <v>0</v>
          </cell>
        </row>
        <row r="26">
          <cell r="E26">
            <v>0</v>
          </cell>
          <cell r="G26">
            <v>1</v>
          </cell>
        </row>
        <row r="27">
          <cell r="E27">
            <v>406.77</v>
          </cell>
        </row>
      </sheetData>
      <sheetData sheetId="16" refreshError="1">
        <row r="9">
          <cell r="F9">
            <v>350000</v>
          </cell>
        </row>
        <row r="22">
          <cell r="E22">
            <v>7963.2799999999988</v>
          </cell>
          <cell r="G22">
            <v>0</v>
          </cell>
        </row>
        <row r="23">
          <cell r="E23">
            <v>0</v>
          </cell>
          <cell r="G23">
            <v>0</v>
          </cell>
        </row>
        <row r="24">
          <cell r="E24">
            <v>0</v>
          </cell>
          <cell r="G24">
            <v>0</v>
          </cell>
        </row>
        <row r="25">
          <cell r="E25">
            <v>0</v>
          </cell>
          <cell r="G25">
            <v>0</v>
          </cell>
        </row>
      </sheetData>
      <sheetData sheetId="17" refreshError="1">
        <row r="6">
          <cell r="O6">
            <v>0.95</v>
          </cell>
        </row>
        <row r="9">
          <cell r="F9">
            <v>350000</v>
          </cell>
          <cell r="N9">
            <v>350000</v>
          </cell>
          <cell r="O9">
            <v>1000000000000</v>
          </cell>
        </row>
        <row r="10">
          <cell r="F10">
            <v>332500</v>
          </cell>
          <cell r="N10">
            <v>75000</v>
          </cell>
          <cell r="O10">
            <v>332500</v>
          </cell>
        </row>
        <row r="11">
          <cell r="F11">
            <v>0</v>
          </cell>
        </row>
        <row r="12">
          <cell r="F12">
            <v>0</v>
          </cell>
        </row>
        <row r="35">
          <cell r="O35">
            <v>332500</v>
          </cell>
        </row>
        <row r="36">
          <cell r="O36">
            <v>350000</v>
          </cell>
        </row>
        <row r="37">
          <cell r="C37">
            <v>420454.79662020208</v>
          </cell>
          <cell r="D37">
            <v>75000.000000000044</v>
          </cell>
        </row>
        <row r="38">
          <cell r="C38">
            <v>442583.99644231802</v>
          </cell>
          <cell r="D38">
            <v>78947.368421052684</v>
          </cell>
        </row>
        <row r="39">
          <cell r="C39">
            <v>0</v>
          </cell>
          <cell r="D39">
            <v>0</v>
          </cell>
        </row>
        <row r="40">
          <cell r="C40">
            <v>0</v>
          </cell>
          <cell r="D40">
            <v>0</v>
          </cell>
        </row>
        <row r="41">
          <cell r="C41">
            <v>0</v>
          </cell>
          <cell r="D41">
            <v>0</v>
          </cell>
        </row>
        <row r="42">
          <cell r="C42">
            <v>0</v>
          </cell>
          <cell r="D42">
            <v>0</v>
          </cell>
        </row>
      </sheetData>
      <sheetData sheetId="18" refreshError="1"/>
      <sheetData sheetId="19" refreshError="1">
        <row r="5">
          <cell r="J5">
            <v>3</v>
          </cell>
          <cell r="K5">
            <v>0.1125</v>
          </cell>
        </row>
      </sheetData>
      <sheetData sheetId="20" refreshError="1">
        <row r="12">
          <cell r="D12" t="str">
            <v>Adquisición de Casa Habitación
(Hipoteca Fuerte)</v>
          </cell>
        </row>
        <row r="88">
          <cell r="G88" t="str">
            <v/>
          </cell>
        </row>
        <row r="102">
          <cell r="G102">
            <v>0</v>
          </cell>
        </row>
        <row r="122">
          <cell r="G122">
            <v>372900.05220000003</v>
          </cell>
        </row>
        <row r="152">
          <cell r="B152" t="str">
            <v>Tasa de Interés Anual (Fija) *:</v>
          </cell>
          <cell r="C152">
            <v>0</v>
          </cell>
          <cell r="D152">
            <v>0.1125</v>
          </cell>
          <cell r="E152">
            <v>0</v>
          </cell>
          <cell r="F152" t="str">
            <v>--removed 2017-065</v>
          </cell>
          <cell r="G152">
            <v>0</v>
          </cell>
          <cell r="H152" t="str">
            <v>--removed 2017-065</v>
          </cell>
          <cell r="I152">
            <v>0</v>
          </cell>
          <cell r="J152" t="str">
            <v>--removed 2017-065</v>
          </cell>
          <cell r="K152">
            <v>0</v>
          </cell>
          <cell r="L152">
            <v>0</v>
          </cell>
        </row>
        <row r="156">
          <cell r="B156" t="str">
            <v>Pago por Mil ***:</v>
          </cell>
          <cell r="C156">
            <v>0</v>
          </cell>
          <cell r="D156">
            <v>10.595476049572524</v>
          </cell>
          <cell r="E156">
            <v>0</v>
          </cell>
          <cell r="F156" t="str">
            <v>--removed 2017-065</v>
          </cell>
          <cell r="G156">
            <v>0</v>
          </cell>
          <cell r="H156" t="str">
            <v>--removed 2017-065</v>
          </cell>
          <cell r="I156">
            <v>0</v>
          </cell>
          <cell r="J156" t="str">
            <v>--removed 2017-065</v>
          </cell>
          <cell r="K156">
            <v>0</v>
          </cell>
          <cell r="L156">
            <v>0</v>
          </cell>
          <cell r="P156">
            <v>9.2466666666666661</v>
          </cell>
        </row>
        <row r="170">
          <cell r="B170" t="str">
            <v>Total Pago Mensual ****:</v>
          </cell>
          <cell r="C170">
            <v>0</v>
          </cell>
          <cell r="D170">
            <v>77084.996127757448</v>
          </cell>
          <cell r="E170">
            <v>0</v>
          </cell>
          <cell r="F170" t="str">
            <v>--removed 2017-065</v>
          </cell>
          <cell r="G170">
            <v>0</v>
          </cell>
          <cell r="H170" t="str">
            <v>--removed 2017-065</v>
          </cell>
          <cell r="I170">
            <v>0</v>
          </cell>
          <cell r="J170" t="str">
            <v>--removed 2017-065</v>
          </cell>
          <cell r="K170">
            <v>0</v>
          </cell>
        </row>
      </sheetData>
      <sheetData sheetId="21" refreshError="1">
        <row r="25">
          <cell r="Y25">
            <v>0.1332226852215681</v>
          </cell>
        </row>
        <row r="37">
          <cell r="P37">
            <v>57925.055800000002</v>
          </cell>
        </row>
        <row r="38">
          <cell r="P38">
            <v>77084.996100000004</v>
          </cell>
        </row>
        <row r="39">
          <cell r="P39">
            <v>77084.996199999994</v>
          </cell>
        </row>
        <row r="40">
          <cell r="P40">
            <v>77084.996100000004</v>
          </cell>
        </row>
        <row r="41">
          <cell r="P41">
            <v>77084.996100000004</v>
          </cell>
        </row>
        <row r="42">
          <cell r="P42">
            <v>77084.996100000004</v>
          </cell>
        </row>
        <row r="43">
          <cell r="P43">
            <v>77084.996100000004</v>
          </cell>
        </row>
        <row r="44">
          <cell r="P44">
            <v>77084.996100000004</v>
          </cell>
        </row>
        <row r="45">
          <cell r="P45">
            <v>77084.996100000004</v>
          </cell>
        </row>
        <row r="46">
          <cell r="P46">
            <v>77084.996100000004</v>
          </cell>
        </row>
        <row r="47">
          <cell r="P47">
            <v>77084.996100000004</v>
          </cell>
        </row>
        <row r="48">
          <cell r="P48">
            <v>77084.996100000004</v>
          </cell>
        </row>
        <row r="49">
          <cell r="P49">
            <v>76002.4277</v>
          </cell>
        </row>
        <row r="50">
          <cell r="P50">
            <v>76003.774699999994</v>
          </cell>
        </row>
        <row r="51">
          <cell r="P51">
            <v>76005.134600000005</v>
          </cell>
        </row>
        <row r="52">
          <cell r="P52">
            <v>76006.507400000002</v>
          </cell>
        </row>
        <row r="53">
          <cell r="P53">
            <v>76007.893299999996</v>
          </cell>
        </row>
        <row r="54">
          <cell r="P54">
            <v>76009.292300000001</v>
          </cell>
        </row>
        <row r="55">
          <cell r="P55">
            <v>76010.704599999997</v>
          </cell>
        </row>
        <row r="56">
          <cell r="P56">
            <v>76012.130300000004</v>
          </cell>
        </row>
        <row r="57">
          <cell r="P57">
            <v>76013.569499999998</v>
          </cell>
        </row>
        <row r="58">
          <cell r="P58">
            <v>76015.022500000006</v>
          </cell>
        </row>
        <row r="59">
          <cell r="P59">
            <v>76016.489100000006</v>
          </cell>
        </row>
        <row r="60">
          <cell r="P60">
            <v>76017.969800000006</v>
          </cell>
        </row>
        <row r="61">
          <cell r="P61">
            <v>74953.933000000005</v>
          </cell>
        </row>
        <row r="62">
          <cell r="P62">
            <v>74956.950899999996</v>
          </cell>
        </row>
        <row r="63">
          <cell r="P63">
            <v>74959.997499999998</v>
          </cell>
        </row>
        <row r="64">
          <cell r="P64">
            <v>74963.072899999999</v>
          </cell>
        </row>
        <row r="65">
          <cell r="P65">
            <v>74966.177599999995</v>
          </cell>
        </row>
        <row r="66">
          <cell r="P66">
            <v>74969.311700000006</v>
          </cell>
        </row>
        <row r="67">
          <cell r="P67">
            <v>74972.475699999995</v>
          </cell>
        </row>
        <row r="68">
          <cell r="P68">
            <v>74975.669699999999</v>
          </cell>
        </row>
        <row r="69">
          <cell r="P69">
            <v>74978.894100000005</v>
          </cell>
        </row>
        <row r="70">
          <cell r="P70">
            <v>74982.149000000005</v>
          </cell>
        </row>
        <row r="71">
          <cell r="P71">
            <v>74985.434899999993</v>
          </cell>
        </row>
        <row r="72">
          <cell r="P72">
            <v>74988.752099999998</v>
          </cell>
        </row>
        <row r="73">
          <cell r="P73">
            <v>73945.653000000006</v>
          </cell>
        </row>
        <row r="74">
          <cell r="P74">
            <v>73950.723700000002</v>
          </cell>
        </row>
        <row r="75">
          <cell r="P75">
            <v>73955.842600000004</v>
          </cell>
        </row>
        <row r="76">
          <cell r="P76">
            <v>73961.0101</v>
          </cell>
        </row>
        <row r="77">
          <cell r="P77">
            <v>73966.226699999999</v>
          </cell>
        </row>
        <row r="78">
          <cell r="P78">
            <v>73971.492700000003</v>
          </cell>
        </row>
        <row r="79">
          <cell r="P79">
            <v>73976.808900000004</v>
          </cell>
        </row>
        <row r="80">
          <cell r="P80">
            <v>73982.175600000002</v>
          </cell>
        </row>
        <row r="81">
          <cell r="P81">
            <v>73987.593299999993</v>
          </cell>
        </row>
        <row r="82">
          <cell r="P82">
            <v>73993.062300000005</v>
          </cell>
        </row>
        <row r="83">
          <cell r="P83">
            <v>73998.583499999993</v>
          </cell>
        </row>
        <row r="84">
          <cell r="P84">
            <v>74004.157000000007</v>
          </cell>
        </row>
        <row r="85">
          <cell r="P85">
            <v>72984.712499999994</v>
          </cell>
        </row>
        <row r="86">
          <cell r="P86">
            <v>72992.285699999993</v>
          </cell>
        </row>
        <row r="87">
          <cell r="P87">
            <v>72999.930900000007</v>
          </cell>
        </row>
        <row r="88">
          <cell r="P88">
            <v>73007.648700000005</v>
          </cell>
        </row>
        <row r="89">
          <cell r="P89">
            <v>73015.439799999993</v>
          </cell>
        </row>
        <row r="90">
          <cell r="P90">
            <v>73023.304999999993</v>
          </cell>
        </row>
        <row r="91">
          <cell r="P91">
            <v>73031.244900000005</v>
          </cell>
        </row>
        <row r="92">
          <cell r="P92">
            <v>73039.2601</v>
          </cell>
        </row>
        <row r="93">
          <cell r="P93">
            <v>73047.351500000004</v>
          </cell>
        </row>
        <row r="94">
          <cell r="P94">
            <v>73055.519899999999</v>
          </cell>
        </row>
        <row r="95">
          <cell r="P95">
            <v>73063.765799999994</v>
          </cell>
        </row>
        <row r="96">
          <cell r="P96">
            <v>73072.09</v>
          </cell>
        </row>
        <row r="97">
          <cell r="P97">
            <v>72079.367499999993</v>
          </cell>
        </row>
        <row r="98">
          <cell r="P98">
            <v>72089.9715</v>
          </cell>
        </row>
        <row r="99">
          <cell r="P99">
            <v>72100.676099999997</v>
          </cell>
        </row>
        <row r="100">
          <cell r="P100">
            <v>72111.482600000003</v>
          </cell>
        </row>
        <row r="101">
          <cell r="P101">
            <v>72122.391600000003</v>
          </cell>
        </row>
        <row r="102">
          <cell r="P102">
            <v>72133.404200000004</v>
          </cell>
        </row>
        <row r="103">
          <cell r="P103">
            <v>72144.521500000003</v>
          </cell>
        </row>
        <row r="104">
          <cell r="P104">
            <v>72155.744399999996</v>
          </cell>
        </row>
        <row r="105">
          <cell r="P105">
            <v>72167.073900000003</v>
          </cell>
        </row>
        <row r="106">
          <cell r="P106">
            <v>72178.510999999999</v>
          </cell>
        </row>
        <row r="107">
          <cell r="P107">
            <v>72190.056800000006</v>
          </cell>
        </row>
        <row r="108">
          <cell r="P108">
            <v>72201.712199999994</v>
          </cell>
        </row>
        <row r="109">
          <cell r="P109">
            <v>71239.174899999998</v>
          </cell>
        </row>
        <row r="110">
          <cell r="P110">
            <v>71253.428499999995</v>
          </cell>
        </row>
        <row r="111">
          <cell r="P111">
            <v>71267.817500000005</v>
          </cell>
        </row>
        <row r="112">
          <cell r="P112">
            <v>71282.343200000003</v>
          </cell>
        </row>
        <row r="113">
          <cell r="P113">
            <v>71297.006800000003</v>
          </cell>
        </row>
        <row r="114">
          <cell r="P114">
            <v>71311.809899999993</v>
          </cell>
        </row>
        <row r="115">
          <cell r="P115">
            <v>71326.753400000001</v>
          </cell>
        </row>
        <row r="116">
          <cell r="P116">
            <v>71341.839099999997</v>
          </cell>
        </row>
        <row r="117">
          <cell r="P117">
            <v>71357.067899999995</v>
          </cell>
        </row>
        <row r="118">
          <cell r="P118">
            <v>71372.441500000001</v>
          </cell>
        </row>
        <row r="119">
          <cell r="P119">
            <v>71387.9611</v>
          </cell>
        </row>
        <row r="120">
          <cell r="P120">
            <v>71403.628200000006</v>
          </cell>
        </row>
        <row r="121">
          <cell r="P121">
            <v>70475.185400000002</v>
          </cell>
        </row>
        <row r="122">
          <cell r="P122">
            <v>70493.8125</v>
          </cell>
        </row>
        <row r="123">
          <cell r="P123">
            <v>70512.616599999994</v>
          </cell>
        </row>
        <row r="124">
          <cell r="P124">
            <v>70531.599400000006</v>
          </cell>
        </row>
        <row r="125">
          <cell r="P125">
            <v>70550.762499999997</v>
          </cell>
        </row>
        <row r="126">
          <cell r="P126">
            <v>70570.107600000003</v>
          </cell>
        </row>
        <row r="127">
          <cell r="P127">
            <v>70589.636599999998</v>
          </cell>
        </row>
        <row r="128">
          <cell r="P128">
            <v>70609.350999999995</v>
          </cell>
        </row>
        <row r="129">
          <cell r="P129">
            <v>70629.252699999997</v>
          </cell>
        </row>
        <row r="130">
          <cell r="P130">
            <v>70649.343500000003</v>
          </cell>
        </row>
        <row r="131">
          <cell r="P131">
            <v>70669.625100000005</v>
          </cell>
        </row>
        <row r="132">
          <cell r="P132">
            <v>70690.099600000001</v>
          </cell>
        </row>
        <row r="133">
          <cell r="P133">
            <v>70710.768400000001</v>
          </cell>
        </row>
        <row r="134">
          <cell r="P134">
            <v>70731.633499999996</v>
          </cell>
        </row>
        <row r="135">
          <cell r="P135">
            <v>70752.697</v>
          </cell>
        </row>
        <row r="136">
          <cell r="P136">
            <v>70773.960399999996</v>
          </cell>
        </row>
        <row r="137">
          <cell r="P137">
            <v>70795.426000000007</v>
          </cell>
        </row>
        <row r="138">
          <cell r="P138">
            <v>70817.095400000006</v>
          </cell>
        </row>
        <row r="139">
          <cell r="P139">
            <v>70838.970799999996</v>
          </cell>
        </row>
        <row r="140">
          <cell r="P140">
            <v>70861.053799999994</v>
          </cell>
        </row>
        <row r="141">
          <cell r="P141">
            <v>70883.346799999999</v>
          </cell>
        </row>
        <row r="142">
          <cell r="P142">
            <v>70905.8514</v>
          </cell>
        </row>
        <row r="143">
          <cell r="P143">
            <v>70928.570000000007</v>
          </cell>
        </row>
        <row r="144">
          <cell r="P144">
            <v>70951.504199999996</v>
          </cell>
        </row>
        <row r="145">
          <cell r="P145">
            <v>70974.656400000007</v>
          </cell>
        </row>
        <row r="146">
          <cell r="P146">
            <v>70998.028600000005</v>
          </cell>
        </row>
        <row r="147">
          <cell r="P147">
            <v>71021.622799999997</v>
          </cell>
        </row>
        <row r="148">
          <cell r="P148">
            <v>71045.441000000006</v>
          </cell>
        </row>
        <row r="149">
          <cell r="P149">
            <v>71069.485700000005</v>
          </cell>
        </row>
        <row r="150">
          <cell r="P150">
            <v>71093.758600000001</v>
          </cell>
        </row>
        <row r="151">
          <cell r="P151">
            <v>71118.262300000002</v>
          </cell>
        </row>
        <row r="152">
          <cell r="P152">
            <v>71142.998600000006</v>
          </cell>
        </row>
        <row r="153">
          <cell r="P153">
            <v>71167.97</v>
          </cell>
        </row>
        <row r="154">
          <cell r="P154">
            <v>71193.178599999999</v>
          </cell>
        </row>
        <row r="155">
          <cell r="P155">
            <v>71218.626799999998</v>
          </cell>
        </row>
        <row r="156">
          <cell r="P156">
            <v>71244.316600000006</v>
          </cell>
        </row>
        <row r="157">
          <cell r="P157">
            <v>71270.250499999995</v>
          </cell>
        </row>
        <row r="158">
          <cell r="P158">
            <v>71296.430800000002</v>
          </cell>
        </row>
        <row r="159">
          <cell r="P159">
            <v>71322.859700000001</v>
          </cell>
        </row>
        <row r="160">
          <cell r="P160">
            <v>71349.539799999999</v>
          </cell>
        </row>
        <row r="161">
          <cell r="P161">
            <v>71376.473299999998</v>
          </cell>
        </row>
        <row r="162">
          <cell r="P162">
            <v>71403.662700000001</v>
          </cell>
        </row>
        <row r="163">
          <cell r="P163">
            <v>71431.110400000005</v>
          </cell>
        </row>
        <row r="164">
          <cell r="P164">
            <v>71458.818899999998</v>
          </cell>
        </row>
        <row r="165">
          <cell r="P165">
            <v>71486.790599999993</v>
          </cell>
        </row>
        <row r="166">
          <cell r="P166">
            <v>71515.028000000006</v>
          </cell>
        </row>
        <row r="167">
          <cell r="P167">
            <v>71543.533599999995</v>
          </cell>
        </row>
        <row r="168">
          <cell r="P168">
            <v>71572.310100000002</v>
          </cell>
        </row>
        <row r="169">
          <cell r="P169">
            <v>71601.359899999996</v>
          </cell>
        </row>
        <row r="170">
          <cell r="P170">
            <v>71630.685700000002</v>
          </cell>
        </row>
        <row r="171">
          <cell r="P171">
            <v>71660.290200000003</v>
          </cell>
        </row>
        <row r="172">
          <cell r="P172">
            <v>71690.175799999997</v>
          </cell>
        </row>
        <row r="173">
          <cell r="P173">
            <v>71720.345400000006</v>
          </cell>
        </row>
        <row r="174">
          <cell r="P174">
            <v>71750.801500000001</v>
          </cell>
        </row>
        <row r="175">
          <cell r="P175">
            <v>71781.547099999996</v>
          </cell>
        </row>
        <row r="176">
          <cell r="P176">
            <v>71812.584700000007</v>
          </cell>
        </row>
        <row r="177">
          <cell r="P177">
            <v>71843.917100000006</v>
          </cell>
        </row>
        <row r="178">
          <cell r="P178">
            <v>71875.547200000001</v>
          </cell>
        </row>
        <row r="179">
          <cell r="P179">
            <v>71907.477799999993</v>
          </cell>
        </row>
        <row r="180">
          <cell r="P180">
            <v>71939.711800000005</v>
          </cell>
        </row>
        <row r="181">
          <cell r="P181">
            <v>71972.251900000003</v>
          </cell>
        </row>
        <row r="182">
          <cell r="P182">
            <v>72005.101200000005</v>
          </cell>
        </row>
        <row r="183">
          <cell r="P183">
            <v>72038.262600000002</v>
          </cell>
        </row>
        <row r="184">
          <cell r="P184">
            <v>72071.738899999997</v>
          </cell>
        </row>
        <row r="185">
          <cell r="P185">
            <v>72105.5334</v>
          </cell>
        </row>
        <row r="186">
          <cell r="P186">
            <v>72139.648799999995</v>
          </cell>
        </row>
        <row r="187">
          <cell r="P187">
            <v>72174.088399999993</v>
          </cell>
        </row>
        <row r="188">
          <cell r="P188">
            <v>72208.855100000001</v>
          </cell>
        </row>
        <row r="189">
          <cell r="P189">
            <v>72243.952099999995</v>
          </cell>
        </row>
        <row r="190">
          <cell r="P190">
            <v>72279.382599999997</v>
          </cell>
        </row>
        <row r="191">
          <cell r="P191">
            <v>72315.149600000004</v>
          </cell>
        </row>
        <row r="192">
          <cell r="P192">
            <v>72351.256500000003</v>
          </cell>
        </row>
        <row r="193">
          <cell r="P193">
            <v>72387.706300000005</v>
          </cell>
        </row>
        <row r="194">
          <cell r="P194">
            <v>72424.502399999998</v>
          </cell>
        </row>
        <row r="195">
          <cell r="P195">
            <v>72461.648100000006</v>
          </cell>
        </row>
        <row r="196">
          <cell r="P196">
            <v>72499.146599999993</v>
          </cell>
        </row>
        <row r="197">
          <cell r="P197">
            <v>72537.001399999994</v>
          </cell>
        </row>
        <row r="198">
          <cell r="P198">
            <v>72575.215800000005</v>
          </cell>
        </row>
        <row r="199">
          <cell r="P199">
            <v>72613.7932</v>
          </cell>
        </row>
        <row r="200">
          <cell r="P200">
            <v>72652.737099999998</v>
          </cell>
        </row>
        <row r="201">
          <cell r="P201">
            <v>72692.051099999997</v>
          </cell>
        </row>
        <row r="202">
          <cell r="P202">
            <v>72731.738500000007</v>
          </cell>
        </row>
        <row r="203">
          <cell r="P203">
            <v>72771.802800000005</v>
          </cell>
        </row>
        <row r="204">
          <cell r="P204">
            <v>72812.247900000002</v>
          </cell>
        </row>
        <row r="205">
          <cell r="P205">
            <v>72853.0772</v>
          </cell>
        </row>
        <row r="206">
          <cell r="P206">
            <v>72894.294200000004</v>
          </cell>
        </row>
        <row r="207">
          <cell r="P207">
            <v>72935.902900000001</v>
          </cell>
        </row>
        <row r="208">
          <cell r="P208">
            <v>72977.906900000002</v>
          </cell>
        </row>
        <row r="209">
          <cell r="P209">
            <v>73020.309899999993</v>
          </cell>
        </row>
        <row r="210">
          <cell r="P210">
            <v>73063.115699999995</v>
          </cell>
        </row>
        <row r="211">
          <cell r="P211">
            <v>73106.328299999994</v>
          </cell>
        </row>
        <row r="212">
          <cell r="P212">
            <v>73149.951300000001</v>
          </cell>
        </row>
        <row r="213">
          <cell r="P213">
            <v>73193.988700000002</v>
          </cell>
        </row>
        <row r="214">
          <cell r="P214">
            <v>73238.444600000003</v>
          </cell>
        </row>
        <row r="215">
          <cell r="P215">
            <v>73283.3226</v>
          </cell>
        </row>
        <row r="216">
          <cell r="P216">
            <v>73328.627099999998</v>
          </cell>
        </row>
        <row r="217">
          <cell r="P217">
            <v>73374.361900000004</v>
          </cell>
        </row>
        <row r="218">
          <cell r="P218">
            <v>73420.531300000002</v>
          </cell>
        </row>
        <row r="219">
          <cell r="P219">
            <v>73467.139200000005</v>
          </cell>
        </row>
        <row r="220">
          <cell r="P220">
            <v>73514.19</v>
          </cell>
        </row>
        <row r="221">
          <cell r="P221">
            <v>73561.687600000005</v>
          </cell>
        </row>
        <row r="222">
          <cell r="P222">
            <v>73609.636599999998</v>
          </cell>
        </row>
        <row r="223">
          <cell r="P223">
            <v>73658.040999999997</v>
          </cell>
        </row>
        <row r="224">
          <cell r="P224">
            <v>73706.905400000003</v>
          </cell>
        </row>
        <row r="225">
          <cell r="P225">
            <v>73756.233900000007</v>
          </cell>
        </row>
        <row r="226">
          <cell r="P226">
            <v>73806.031000000003</v>
          </cell>
        </row>
        <row r="227">
          <cell r="P227">
            <v>73856.301200000002</v>
          </cell>
        </row>
        <row r="228">
          <cell r="P228">
            <v>73907.048800000004</v>
          </cell>
        </row>
        <row r="229">
          <cell r="P229">
            <v>73958.2788</v>
          </cell>
        </row>
        <row r="230">
          <cell r="P230">
            <v>74009.995299999995</v>
          </cell>
        </row>
        <row r="231">
          <cell r="P231">
            <v>74062.203099999999</v>
          </cell>
        </row>
        <row r="232">
          <cell r="P232">
            <v>74114.907000000007</v>
          </cell>
        </row>
        <row r="233">
          <cell r="P233">
            <v>74168.111499999999</v>
          </cell>
        </row>
        <row r="234">
          <cell r="P234">
            <v>74221.821400000001</v>
          </cell>
        </row>
        <row r="235">
          <cell r="P235">
            <v>74276.041599999997</v>
          </cell>
        </row>
        <row r="236">
          <cell r="P236">
            <v>74330.776899999997</v>
          </cell>
        </row>
        <row r="237">
          <cell r="P237">
            <v>74386.032200000001</v>
          </cell>
        </row>
        <row r="238">
          <cell r="P238">
            <v>74441.812399999995</v>
          </cell>
        </row>
        <row r="239">
          <cell r="P239">
            <v>74498.122499999998</v>
          </cell>
        </row>
        <row r="240">
          <cell r="P240">
            <v>74554.967600000004</v>
          </cell>
        </row>
        <row r="241">
          <cell r="P241">
            <v>74612.352599999998</v>
          </cell>
        </row>
        <row r="242">
          <cell r="P242">
            <v>74670.282900000006</v>
          </cell>
        </row>
        <row r="243">
          <cell r="P243">
            <v>74728.763500000001</v>
          </cell>
        </row>
        <row r="244">
          <cell r="P244">
            <v>74787.799599999998</v>
          </cell>
        </row>
        <row r="245">
          <cell r="P245">
            <v>74847.396599999993</v>
          </cell>
        </row>
        <row r="246">
          <cell r="P246">
            <v>74907.559800000003</v>
          </cell>
        </row>
        <row r="247">
          <cell r="P247">
            <v>74968.294599999994</v>
          </cell>
        </row>
        <row r="248">
          <cell r="P248">
            <v>75029.606199999995</v>
          </cell>
        </row>
        <row r="249">
          <cell r="P249">
            <v>75091.500400000004</v>
          </cell>
        </row>
        <row r="250">
          <cell r="P250">
            <v>75153.982499999998</v>
          </cell>
        </row>
        <row r="251">
          <cell r="P251">
            <v>75217.058199999999</v>
          </cell>
        </row>
        <row r="252">
          <cell r="P252">
            <v>75280.733200000002</v>
          </cell>
        </row>
        <row r="253">
          <cell r="P253">
            <v>75345.013000000006</v>
          </cell>
        </row>
        <row r="254">
          <cell r="P254">
            <v>75409.903600000005</v>
          </cell>
        </row>
        <row r="255">
          <cell r="P255">
            <v>75475.410600000003</v>
          </cell>
        </row>
        <row r="256">
          <cell r="P256">
            <v>75541.539799999999</v>
          </cell>
        </row>
        <row r="257">
          <cell r="P257">
            <v>75608.297399999996</v>
          </cell>
        </row>
        <row r="258">
          <cell r="P258">
            <v>75675.689100000003</v>
          </cell>
        </row>
        <row r="259">
          <cell r="P259">
            <v>75743.721099999995</v>
          </cell>
        </row>
        <row r="260">
          <cell r="P260">
            <v>75812.399300000005</v>
          </cell>
        </row>
        <row r="261">
          <cell r="P261">
            <v>75881.73</v>
          </cell>
        </row>
        <row r="262">
          <cell r="P262">
            <v>75951.719299999997</v>
          </cell>
        </row>
        <row r="263">
          <cell r="P263">
            <v>76022.373500000002</v>
          </cell>
        </row>
        <row r="264">
          <cell r="P264">
            <v>76093.698900000003</v>
          </cell>
        </row>
        <row r="265">
          <cell r="P265">
            <v>76165.702099999995</v>
          </cell>
        </row>
        <row r="266">
          <cell r="P266">
            <v>76238.3891</v>
          </cell>
        </row>
        <row r="267">
          <cell r="P267">
            <v>76311.766600000003</v>
          </cell>
        </row>
        <row r="268">
          <cell r="P268">
            <v>76385.841400000005</v>
          </cell>
        </row>
        <row r="269">
          <cell r="P269">
            <v>76460.6198</v>
          </cell>
        </row>
        <row r="270">
          <cell r="P270">
            <v>76536.108600000007</v>
          </cell>
        </row>
        <row r="271">
          <cell r="P271">
            <v>76612.314400000003</v>
          </cell>
        </row>
        <row r="272">
          <cell r="P272">
            <v>76689.244399999996</v>
          </cell>
        </row>
        <row r="273">
          <cell r="P273">
            <v>76766.904999999999</v>
          </cell>
        </row>
        <row r="274">
          <cell r="P274">
            <v>76845.303499999995</v>
          </cell>
        </row>
        <row r="275">
          <cell r="P275">
            <v>76924.446800000005</v>
          </cell>
        </row>
        <row r="276">
          <cell r="P276">
            <v>77004.342699999994</v>
          </cell>
        </row>
        <row r="277">
          <cell r="P277" t="str">
            <v/>
          </cell>
        </row>
        <row r="278">
          <cell r="P278" t="str">
            <v/>
          </cell>
        </row>
        <row r="279">
          <cell r="P279" t="str">
            <v/>
          </cell>
        </row>
        <row r="280">
          <cell r="P280" t="str">
            <v/>
          </cell>
        </row>
        <row r="281">
          <cell r="P281" t="str">
            <v/>
          </cell>
        </row>
        <row r="282">
          <cell r="P282" t="str">
            <v/>
          </cell>
        </row>
        <row r="283">
          <cell r="P283" t="str">
            <v/>
          </cell>
        </row>
        <row r="284">
          <cell r="P284" t="str">
            <v/>
          </cell>
        </row>
        <row r="285">
          <cell r="P285" t="str">
            <v/>
          </cell>
        </row>
        <row r="286">
          <cell r="P286" t="str">
            <v/>
          </cell>
        </row>
        <row r="287">
          <cell r="P287" t="str">
            <v/>
          </cell>
        </row>
        <row r="288">
          <cell r="P288" t="str">
            <v/>
          </cell>
        </row>
        <row r="289">
          <cell r="P289" t="str">
            <v/>
          </cell>
        </row>
        <row r="290">
          <cell r="P290" t="str">
            <v/>
          </cell>
        </row>
        <row r="291">
          <cell r="P291" t="str">
            <v/>
          </cell>
        </row>
        <row r="292">
          <cell r="P292" t="str">
            <v/>
          </cell>
        </row>
        <row r="293">
          <cell r="P293" t="str">
            <v/>
          </cell>
        </row>
        <row r="294">
          <cell r="P294" t="str">
            <v/>
          </cell>
        </row>
        <row r="295">
          <cell r="P295" t="str">
            <v/>
          </cell>
        </row>
        <row r="296">
          <cell r="P296" t="str">
            <v/>
          </cell>
        </row>
        <row r="297">
          <cell r="P297" t="str">
            <v/>
          </cell>
        </row>
        <row r="298">
          <cell r="P298" t="str">
            <v/>
          </cell>
        </row>
        <row r="299">
          <cell r="P299" t="str">
            <v/>
          </cell>
        </row>
        <row r="300">
          <cell r="P300" t="str">
            <v/>
          </cell>
        </row>
        <row r="301">
          <cell r="P301" t="str">
            <v/>
          </cell>
        </row>
        <row r="302">
          <cell r="P302" t="str">
            <v/>
          </cell>
        </row>
        <row r="303">
          <cell r="P303" t="str">
            <v/>
          </cell>
        </row>
        <row r="304">
          <cell r="P304" t="str">
            <v/>
          </cell>
        </row>
        <row r="305">
          <cell r="P305" t="str">
            <v/>
          </cell>
        </row>
        <row r="306">
          <cell r="P306" t="str">
            <v/>
          </cell>
        </row>
        <row r="307">
          <cell r="P307" t="str">
            <v/>
          </cell>
        </row>
        <row r="308">
          <cell r="P308" t="str">
            <v/>
          </cell>
        </row>
        <row r="309">
          <cell r="P309" t="str">
            <v/>
          </cell>
        </row>
        <row r="310">
          <cell r="P310" t="str">
            <v/>
          </cell>
        </row>
        <row r="311">
          <cell r="P311" t="str">
            <v/>
          </cell>
        </row>
        <row r="312">
          <cell r="P312" t="str">
            <v/>
          </cell>
        </row>
        <row r="313">
          <cell r="P313" t="str">
            <v/>
          </cell>
        </row>
        <row r="314">
          <cell r="P314" t="str">
            <v/>
          </cell>
        </row>
        <row r="315">
          <cell r="P315" t="str">
            <v/>
          </cell>
        </row>
        <row r="316">
          <cell r="P316" t="str">
            <v/>
          </cell>
        </row>
        <row r="317">
          <cell r="P317" t="str">
            <v/>
          </cell>
        </row>
        <row r="318">
          <cell r="P318" t="str">
            <v/>
          </cell>
        </row>
        <row r="319">
          <cell r="P319" t="str">
            <v/>
          </cell>
        </row>
        <row r="320">
          <cell r="P320" t="str">
            <v/>
          </cell>
        </row>
        <row r="321">
          <cell r="P321" t="str">
            <v/>
          </cell>
        </row>
        <row r="322">
          <cell r="P322" t="str">
            <v/>
          </cell>
        </row>
        <row r="323">
          <cell r="P323" t="str">
            <v/>
          </cell>
        </row>
        <row r="324">
          <cell r="P324" t="str">
            <v/>
          </cell>
        </row>
        <row r="325">
          <cell r="P325" t="str">
            <v/>
          </cell>
        </row>
        <row r="326">
          <cell r="P326" t="str">
            <v/>
          </cell>
        </row>
        <row r="327">
          <cell r="P327" t="str">
            <v/>
          </cell>
        </row>
        <row r="328">
          <cell r="P328" t="str">
            <v/>
          </cell>
        </row>
        <row r="329">
          <cell r="P329" t="str">
            <v/>
          </cell>
        </row>
        <row r="330">
          <cell r="P330" t="str">
            <v/>
          </cell>
        </row>
        <row r="331">
          <cell r="P331" t="str">
            <v/>
          </cell>
        </row>
        <row r="332">
          <cell r="P332" t="str">
            <v/>
          </cell>
        </row>
        <row r="333">
          <cell r="P333" t="str">
            <v/>
          </cell>
        </row>
        <row r="334">
          <cell r="P334" t="str">
            <v/>
          </cell>
        </row>
        <row r="335">
          <cell r="P335" t="str">
            <v/>
          </cell>
        </row>
        <row r="336">
          <cell r="P336" t="str">
            <v/>
          </cell>
        </row>
        <row r="337">
          <cell r="P337" t="str">
            <v/>
          </cell>
        </row>
        <row r="338">
          <cell r="P338" t="str">
            <v/>
          </cell>
        </row>
        <row r="339">
          <cell r="P339" t="str">
            <v/>
          </cell>
        </row>
        <row r="340">
          <cell r="P340" t="str">
            <v/>
          </cell>
        </row>
        <row r="341">
          <cell r="P341" t="str">
            <v/>
          </cell>
        </row>
        <row r="342">
          <cell r="P342" t="str">
            <v/>
          </cell>
        </row>
        <row r="343">
          <cell r="P343" t="str">
            <v/>
          </cell>
        </row>
        <row r="344">
          <cell r="P344" t="str">
            <v/>
          </cell>
        </row>
        <row r="345">
          <cell r="P345" t="str">
            <v/>
          </cell>
        </row>
        <row r="346">
          <cell r="P346" t="str">
            <v/>
          </cell>
        </row>
        <row r="347">
          <cell r="P347" t="str">
            <v/>
          </cell>
        </row>
        <row r="348">
          <cell r="P348" t="str">
            <v/>
          </cell>
        </row>
        <row r="349">
          <cell r="P349" t="str">
            <v/>
          </cell>
        </row>
        <row r="350">
          <cell r="P350" t="str">
            <v/>
          </cell>
        </row>
        <row r="351">
          <cell r="P351" t="str">
            <v/>
          </cell>
        </row>
        <row r="352">
          <cell r="P352" t="str">
            <v/>
          </cell>
        </row>
        <row r="353">
          <cell r="P353" t="str">
            <v/>
          </cell>
        </row>
        <row r="354">
          <cell r="P354" t="str">
            <v/>
          </cell>
        </row>
        <row r="355">
          <cell r="P355" t="str">
            <v/>
          </cell>
        </row>
        <row r="356">
          <cell r="P356" t="str">
            <v/>
          </cell>
        </row>
        <row r="357">
          <cell r="P357" t="str">
            <v/>
          </cell>
        </row>
        <row r="358">
          <cell r="P358" t="str">
            <v/>
          </cell>
        </row>
        <row r="359">
          <cell r="P359" t="str">
            <v/>
          </cell>
        </row>
        <row r="360">
          <cell r="P360" t="str">
            <v/>
          </cell>
        </row>
        <row r="361">
          <cell r="P361" t="str">
            <v/>
          </cell>
        </row>
        <row r="362">
          <cell r="P362" t="str">
            <v/>
          </cell>
        </row>
        <row r="363">
          <cell r="P363" t="str">
            <v/>
          </cell>
        </row>
        <row r="364">
          <cell r="P364" t="str">
            <v/>
          </cell>
        </row>
        <row r="365">
          <cell r="P365" t="str">
            <v/>
          </cell>
        </row>
        <row r="366">
          <cell r="P366" t="str">
            <v/>
          </cell>
        </row>
        <row r="367">
          <cell r="P367" t="str">
            <v/>
          </cell>
        </row>
        <row r="368">
          <cell r="P368" t="str">
            <v/>
          </cell>
        </row>
        <row r="369">
          <cell r="P369" t="str">
            <v/>
          </cell>
        </row>
        <row r="370">
          <cell r="P370" t="str">
            <v/>
          </cell>
        </row>
        <row r="371">
          <cell r="P371" t="str">
            <v/>
          </cell>
        </row>
        <row r="372">
          <cell r="P372" t="str">
            <v/>
          </cell>
        </row>
        <row r="373">
          <cell r="P373" t="str">
            <v/>
          </cell>
        </row>
        <row r="374">
          <cell r="P374" t="str">
            <v/>
          </cell>
        </row>
        <row r="375">
          <cell r="P375" t="str">
            <v/>
          </cell>
        </row>
        <row r="376">
          <cell r="P376" t="str">
            <v/>
          </cell>
        </row>
        <row r="377">
          <cell r="P377" t="str">
            <v/>
          </cell>
        </row>
        <row r="378">
          <cell r="P378" t="str">
            <v/>
          </cell>
        </row>
        <row r="379">
          <cell r="P379" t="str">
            <v/>
          </cell>
        </row>
        <row r="380">
          <cell r="P380" t="str">
            <v/>
          </cell>
        </row>
        <row r="381">
          <cell r="P381" t="str">
            <v/>
          </cell>
        </row>
        <row r="382">
          <cell r="P382" t="str">
            <v/>
          </cell>
        </row>
        <row r="383">
          <cell r="P383" t="str">
            <v/>
          </cell>
        </row>
        <row r="384">
          <cell r="P384" t="str">
            <v/>
          </cell>
        </row>
        <row r="385">
          <cell r="P385" t="str">
            <v/>
          </cell>
        </row>
        <row r="386">
          <cell r="P386" t="str">
            <v/>
          </cell>
        </row>
        <row r="387">
          <cell r="P387" t="str">
            <v/>
          </cell>
        </row>
        <row r="388">
          <cell r="P388" t="str">
            <v/>
          </cell>
        </row>
        <row r="389">
          <cell r="P389" t="str">
            <v/>
          </cell>
        </row>
        <row r="390">
          <cell r="P390" t="str">
            <v/>
          </cell>
        </row>
        <row r="391">
          <cell r="P391" t="str">
            <v/>
          </cell>
        </row>
        <row r="392">
          <cell r="P392" t="str">
            <v/>
          </cell>
        </row>
        <row r="393">
          <cell r="P393" t="str">
            <v/>
          </cell>
        </row>
        <row r="394">
          <cell r="P394" t="str">
            <v/>
          </cell>
        </row>
        <row r="395">
          <cell r="P395" t="str">
            <v/>
          </cell>
        </row>
        <row r="396">
          <cell r="P396" t="str">
            <v/>
          </cell>
        </row>
      </sheetData>
      <sheetData sheetId="22" refreshError="1"/>
      <sheetData sheetId="23" refreshError="1"/>
      <sheetData sheetId="24" refreshError="1"/>
      <sheetData sheetId="25" refreshError="1">
        <row r="6">
          <cell r="B6" t="b">
            <v>1</v>
          </cell>
        </row>
        <row r="10">
          <cell r="A10" t="str">
            <v>Nombre</v>
          </cell>
          <cell r="B10" t="str">
            <v>Aplica?</v>
          </cell>
          <cell r="E10" t="str">
            <v>Aclaración</v>
          </cell>
        </row>
        <row r="11">
          <cell r="A11" t="str">
            <v>Comportamiento Tasa</v>
          </cell>
          <cell r="B11" t="b">
            <v>1</v>
          </cell>
          <cell r="E11" t="str">
            <v>En Hipoteca Fuerte, al pagar puntualmente durante 12 meses consecutivos obtendrás descuento en tasa de 0.20% hasta llegar a la tasa de 9.85%.</v>
          </cell>
        </row>
        <row r="12">
          <cell r="A12" t="str">
            <v>Aclaración Tasa</v>
          </cell>
          <cell r="B12" t="b">
            <v>0</v>
          </cell>
          <cell r="E12" t="str">
            <v>--</v>
          </cell>
        </row>
        <row r="13">
          <cell r="A13" t="str">
            <v>Descuento en Subtasas</v>
          </cell>
          <cell r="B13" t="b">
            <v>1</v>
          </cell>
          <cell r="E13" t="str">
            <v>La Tasas Flexibles y Dinámica, al pagar puntualmente durante 12 meses consecutivos obtendrás descuento en tasa de 0.2% hasta llegar a la tasa de 9.85%.</v>
          </cell>
        </row>
        <row r="14">
          <cell r="A14" t="str">
            <v>Aceptación Avalúo</v>
          </cell>
          <cell r="B14" t="b">
            <v>0</v>
          </cell>
          <cell r="E14" t="str">
            <v>Aceptación de Avalúo aplica cuando se presenta Avalúo existente. Cuando no se presente, aplicará costo de avalúo de 0.30% más I.V.A.</v>
          </cell>
        </row>
        <row r="15">
          <cell r="A15" t="str">
            <v>Gastos Notariales</v>
          </cell>
          <cell r="B15" t="b">
            <v>1</v>
          </cell>
          <cell r="E15" t="str">
            <v>Valor estimado para Oaxaca del 4.22 % del valor avalúo aproximado. El valor definitivo será informado por el Notario a la firma de contrato.</v>
          </cell>
        </row>
        <row r="16">
          <cell r="A16" t="str">
            <v>Ajuste Pago x Mil MxM</v>
          </cell>
          <cell r="B16" t="b">
            <v>0</v>
          </cell>
          <cell r="E16" t="str">
            <v>En Hipoteca Más por Menos, con incremento anual de 2.15% para 15 años y de 2.05% para 20 años. No incluye seguros.</v>
          </cell>
        </row>
        <row r="17">
          <cell r="A17" t="str">
            <v>Primer Pago</v>
          </cell>
          <cell r="B17" t="b">
            <v>1</v>
          </cell>
          <cell r="E17" t="str">
            <v>El primer pago podrá variar por los días realmente transcurridos en el mes.</v>
          </cell>
        </row>
        <row r="18">
          <cell r="A18" t="str">
            <v>Crédito Incluye Apertura</v>
          </cell>
          <cell r="B18" t="b">
            <v>0</v>
          </cell>
          <cell r="E18" t="str">
            <v>Incluye Comisión por Apertura.</v>
          </cell>
        </row>
        <row r="19">
          <cell r="A19" t="str">
            <v>Ahorro Fuerte</v>
          </cell>
          <cell r="B19" t="b">
            <v>1</v>
          </cell>
          <cell r="E19" t="str">
            <v>El Ahorro es calculado considerando el descuento en Tasa por Pago Puntual contra la Tasa inicial asignada Fija.</v>
          </cell>
        </row>
        <row r="24">
          <cell r="A24" t="str">
            <v>Nombre</v>
          </cell>
          <cell r="B24" t="str">
            <v>Aplica?</v>
          </cell>
          <cell r="C24" t="str">
            <v>Índice</v>
          </cell>
          <cell r="D24" t="str">
            <v>Sigil</v>
          </cell>
          <cell r="E24" t="str">
            <v>Aclaración con Sigil</v>
          </cell>
          <cell r="F24" t="str">
            <v>Sección</v>
          </cell>
          <cell r="G24" t="str">
            <v>Sección.Índice</v>
          </cell>
          <cell r="H24" t="str">
            <v>Sección.Nombre</v>
          </cell>
        </row>
        <row r="25">
          <cell r="A25" t="str">
            <v>Comportamiento Tasa</v>
          </cell>
          <cell r="B25" t="b">
            <v>1</v>
          </cell>
          <cell r="C25">
            <v>1</v>
          </cell>
          <cell r="D25" t="str">
            <v xml:space="preserve"> * </v>
          </cell>
          <cell r="E25" t="str">
            <v xml:space="preserve"> * En Hipoteca Fuerte, al pagar puntualmente durante 12 meses consecutivos obtendrás descuento en tasa de 0.20% hasta llegar a la tasa de 9.85%.</v>
          </cell>
          <cell r="F25" t="str">
            <v>Cotización</v>
          </cell>
          <cell r="G25" t="str">
            <v>Cotización.1</v>
          </cell>
          <cell r="H25" t="str">
            <v>Cotización.Comportamiento Tasa</v>
          </cell>
        </row>
        <row r="26">
          <cell r="A26" t="str">
            <v>Aceptación Avalúo</v>
          </cell>
          <cell r="B26" t="b">
            <v>0</v>
          </cell>
          <cell r="C26">
            <v>0</v>
          </cell>
          <cell r="D26" t="str">
            <v/>
          </cell>
          <cell r="E26" t="str">
            <v/>
          </cell>
          <cell r="F26" t="str">
            <v>Cotización</v>
          </cell>
          <cell r="G26" t="str">
            <v>Cotización.0</v>
          </cell>
          <cell r="H26" t="str">
            <v>Cotización.Aceptación Avalúo</v>
          </cell>
        </row>
        <row r="27">
          <cell r="A27" t="str">
            <v>Gastos Notariales</v>
          </cell>
          <cell r="B27" t="b">
            <v>1</v>
          </cell>
          <cell r="C27">
            <v>2</v>
          </cell>
          <cell r="D27" t="str">
            <v xml:space="preserve"> ** </v>
          </cell>
          <cell r="E27" t="str">
            <v xml:space="preserve"> ** Valor estimado para Oaxaca del 4.22 % del valor avalúo aproximado. El valor definitivo será informado por el Notario a la firma de contrato.</v>
          </cell>
          <cell r="F27" t="str">
            <v>Cotización</v>
          </cell>
          <cell r="G27" t="str">
            <v>Cotización.2</v>
          </cell>
          <cell r="H27" t="str">
            <v>Cotización.Gastos Notariales</v>
          </cell>
        </row>
        <row r="28">
          <cell r="A28" t="str">
            <v>Ajuste Pago x Mil MxM</v>
          </cell>
          <cell r="B28" t="b">
            <v>0</v>
          </cell>
          <cell r="C28">
            <v>0</v>
          </cell>
          <cell r="D28" t="str">
            <v/>
          </cell>
          <cell r="E28" t="str">
            <v/>
          </cell>
          <cell r="F28" t="str">
            <v>Cotización</v>
          </cell>
          <cell r="G28" t="str">
            <v>Cotización.0</v>
          </cell>
          <cell r="H28" t="str">
            <v>Cotización.Ajuste Pago x Mil MxM</v>
          </cell>
        </row>
        <row r="29">
          <cell r="A29" t="str">
            <v>Primer Pago</v>
          </cell>
          <cell r="B29" t="b">
            <v>1</v>
          </cell>
          <cell r="C29">
            <v>3</v>
          </cell>
          <cell r="D29" t="str">
            <v xml:space="preserve"> *** </v>
          </cell>
          <cell r="E29" t="str">
            <v xml:space="preserve"> *** El primer pago podrá variar por los días realmente transcurridos en el mes.</v>
          </cell>
          <cell r="F29" t="str">
            <v>Cotización</v>
          </cell>
          <cell r="G29" t="str">
            <v>Cotización.3</v>
          </cell>
          <cell r="H29" t="str">
            <v>Cotización.Primer Pago</v>
          </cell>
        </row>
        <row r="30">
          <cell r="A30">
            <v>0</v>
          </cell>
          <cell r="B30">
            <v>0</v>
          </cell>
          <cell r="G30" t="str">
            <v xml:space="preserve"> </v>
          </cell>
        </row>
        <row r="31">
          <cell r="A31" t="str">
            <v>Nombre</v>
          </cell>
          <cell r="B31" t="str">
            <v>Aplica?</v>
          </cell>
          <cell r="C31" t="str">
            <v>Índice</v>
          </cell>
          <cell r="D31" t="str">
            <v>Sigil</v>
          </cell>
          <cell r="E31" t="str">
            <v>Aclaración con Sigil</v>
          </cell>
          <cell r="F31" t="str">
            <v>Sección</v>
          </cell>
          <cell r="G31" t="str">
            <v>Sección.Índice</v>
          </cell>
          <cell r="H31" t="str">
            <v>Sección.Nombre</v>
          </cell>
        </row>
        <row r="32">
          <cell r="A32" t="str">
            <v>Comportamiento Tasa</v>
          </cell>
          <cell r="B32" t="b">
            <v>1</v>
          </cell>
          <cell r="C32">
            <v>1</v>
          </cell>
          <cell r="D32" t="str">
            <v xml:space="preserve"> * </v>
          </cell>
          <cell r="E32" t="str">
            <v xml:space="preserve"> * En Hipoteca Fuerte, al pagar puntualmente durante 12 meses consecutivos obtendrás descuento en tasa de 0.20% hasta llegar a la tasa de 9.85%.</v>
          </cell>
          <cell r="F32" t="str">
            <v>Tabla Cliente</v>
          </cell>
          <cell r="G32" t="str">
            <v>Tabla Cliente.1</v>
          </cell>
          <cell r="H32" t="str">
            <v>Tabla Cliente.Comportamiento Tasa</v>
          </cell>
        </row>
        <row r="33">
          <cell r="A33" t="str">
            <v>Gastos Notariales</v>
          </cell>
          <cell r="B33" t="b">
            <v>1</v>
          </cell>
          <cell r="C33">
            <v>2</v>
          </cell>
          <cell r="D33" t="str">
            <v xml:space="preserve"> ** </v>
          </cell>
          <cell r="E33" t="str">
            <v xml:space="preserve"> ** Valor estimado para Oaxaca del 4.22 % del valor avalúo aproximado. El valor definitivo será informado por el Notario a la firma de contrato.</v>
          </cell>
          <cell r="F33" t="str">
            <v>Tabla Cliente</v>
          </cell>
          <cell r="G33" t="str">
            <v>Tabla Cliente.2</v>
          </cell>
          <cell r="H33" t="str">
            <v>Tabla Cliente.Gastos Notariales</v>
          </cell>
        </row>
        <row r="34">
          <cell r="A34" t="str">
            <v>Crédito Incluye Apertura</v>
          </cell>
          <cell r="B34" t="b">
            <v>0</v>
          </cell>
          <cell r="C34">
            <v>0</v>
          </cell>
          <cell r="D34" t="str">
            <v/>
          </cell>
          <cell r="E34" t="str">
            <v/>
          </cell>
          <cell r="F34" t="str">
            <v>Tabla Cliente</v>
          </cell>
          <cell r="G34" t="str">
            <v>Tabla Cliente.0</v>
          </cell>
          <cell r="H34" t="str">
            <v>Tabla Cliente.Crédito Incluye Apertura</v>
          </cell>
        </row>
        <row r="35">
          <cell r="A35" t="str">
            <v>Ajuste Pago x Mil MxM</v>
          </cell>
          <cell r="B35" t="b">
            <v>0</v>
          </cell>
          <cell r="C35">
            <v>0</v>
          </cell>
          <cell r="D35" t="str">
            <v/>
          </cell>
          <cell r="E35" t="str">
            <v/>
          </cell>
          <cell r="F35" t="str">
            <v>Tabla Cliente</v>
          </cell>
          <cell r="G35" t="str">
            <v>Tabla Cliente.0</v>
          </cell>
          <cell r="H35" t="str">
            <v>Tabla Cliente.Ajuste Pago x Mil MxM</v>
          </cell>
        </row>
        <row r="36">
          <cell r="A36" t="str">
            <v>Ahorro Fuerte</v>
          </cell>
          <cell r="B36" t="b">
            <v>1</v>
          </cell>
          <cell r="C36">
            <v>3</v>
          </cell>
          <cell r="D36" t="str">
            <v xml:space="preserve"> *** </v>
          </cell>
          <cell r="E36" t="str">
            <v xml:space="preserve"> *** El Ahorro es calculado considerando el descuento en Tasa por Pago Puntual contra la Tasa inicial asignada Fija.</v>
          </cell>
          <cell r="F36" t="str">
            <v>Tabla Cliente</v>
          </cell>
          <cell r="G36" t="str">
            <v>Tabla Cliente.3</v>
          </cell>
          <cell r="H36" t="str">
            <v>Tabla Cliente.Ahorro Fuerte</v>
          </cell>
        </row>
        <row r="37">
          <cell r="A37">
            <v>0</v>
          </cell>
          <cell r="B37">
            <v>0</v>
          </cell>
          <cell r="G37" t="str">
            <v xml:space="preserve"> </v>
          </cell>
        </row>
        <row r="38">
          <cell r="A38" t="str">
            <v>Nombre</v>
          </cell>
          <cell r="B38" t="str">
            <v>Aplica?</v>
          </cell>
          <cell r="C38" t="str">
            <v>Índice</v>
          </cell>
          <cell r="D38" t="str">
            <v>Sigil</v>
          </cell>
          <cell r="E38" t="str">
            <v>Aclaración con Sigil</v>
          </cell>
          <cell r="F38" t="str">
            <v>Sección</v>
          </cell>
          <cell r="G38" t="str">
            <v>Sección.Índice</v>
          </cell>
          <cell r="H38" t="str">
            <v>Sección.Nombre</v>
          </cell>
        </row>
        <row r="39">
          <cell r="A39" t="str">
            <v>Comportamiento Tasa</v>
          </cell>
          <cell r="B39" t="b">
            <v>1</v>
          </cell>
          <cell r="C39">
            <v>1</v>
          </cell>
          <cell r="D39" t="str">
            <v xml:space="preserve"> * </v>
          </cell>
          <cell r="E39" t="str">
            <v xml:space="preserve"> * En Hipoteca Fuerte, al pagar puntualmente durante 12 meses consecutivos obtendrás descuento en tasa de 0.20% hasta llegar a la tasa de 9.85%.</v>
          </cell>
          <cell r="F39" t="str">
            <v>Tabla Notaría</v>
          </cell>
          <cell r="G39" t="str">
            <v>Tabla Notaría.1</v>
          </cell>
          <cell r="H39" t="str">
            <v>Tabla Notaría.Comportamiento Tasa</v>
          </cell>
        </row>
        <row r="40">
          <cell r="A40" t="str">
            <v>Crédito Incluye Apertura</v>
          </cell>
          <cell r="B40" t="b">
            <v>0</v>
          </cell>
          <cell r="C40">
            <v>0</v>
          </cell>
          <cell r="D40" t="str">
            <v/>
          </cell>
          <cell r="E40" t="str">
            <v/>
          </cell>
          <cell r="F40" t="str">
            <v>Tabla Notaría</v>
          </cell>
          <cell r="G40" t="str">
            <v>Tabla Notaría.0</v>
          </cell>
          <cell r="H40" t="str">
            <v>Tabla Notaría.Crédito Incluye Apertura</v>
          </cell>
        </row>
        <row r="41">
          <cell r="A41" t="str">
            <v>Ajuste Pago x Mil MxM</v>
          </cell>
          <cell r="B41" t="b">
            <v>0</v>
          </cell>
          <cell r="C41">
            <v>0</v>
          </cell>
          <cell r="D41" t="str">
            <v/>
          </cell>
          <cell r="E41" t="str">
            <v/>
          </cell>
          <cell r="F41" t="str">
            <v>Tabla Notaría</v>
          </cell>
          <cell r="G41" t="str">
            <v>Tabla Notaría.0</v>
          </cell>
          <cell r="H41" t="str">
            <v>Tabla Notaría.Ajuste Pago x Mil MxM</v>
          </cell>
        </row>
        <row r="42">
          <cell r="A42">
            <v>0</v>
          </cell>
          <cell r="B42">
            <v>0</v>
          </cell>
          <cell r="G42" t="str">
            <v xml:space="preserve"> </v>
          </cell>
        </row>
        <row r="43">
          <cell r="A43" t="str">
            <v>Nombre</v>
          </cell>
          <cell r="B43" t="str">
            <v>Aplica?</v>
          </cell>
          <cell r="C43" t="str">
            <v>Índice</v>
          </cell>
          <cell r="D43" t="str">
            <v>Sigil</v>
          </cell>
          <cell r="E43" t="str">
            <v>Aclaración con Sigil</v>
          </cell>
          <cell r="F43" t="str">
            <v>Sección</v>
          </cell>
          <cell r="G43" t="str">
            <v>Sección.Índice</v>
          </cell>
          <cell r="H43" t="str">
            <v>Sección.Nombre</v>
          </cell>
        </row>
        <row r="44">
          <cell r="A44" t="str">
            <v>Comportamiento Tasa</v>
          </cell>
          <cell r="B44" t="b">
            <v>1</v>
          </cell>
          <cell r="C44">
            <v>1</v>
          </cell>
          <cell r="D44" t="str">
            <v xml:space="preserve"> * </v>
          </cell>
          <cell r="E44" t="str">
            <v xml:space="preserve"> * En Hipoteca Fuerte, al pagar puntualmente durante 12 meses consecutivos obtendrás descuento en tasa de 0.20% hasta llegar a la tasa de 9.85%.</v>
          </cell>
          <cell r="F44" t="str">
            <v>Oferta Vinculante</v>
          </cell>
          <cell r="G44" t="str">
            <v>Oferta Vinculante.1</v>
          </cell>
          <cell r="H44" t="str">
            <v>Oferta Vinculante.Comportamiento Tasa</v>
          </cell>
        </row>
        <row r="45">
          <cell r="A45">
            <v>0</v>
          </cell>
          <cell r="B45">
            <v>0</v>
          </cell>
          <cell r="G45" t="str">
            <v xml:space="preserve"> </v>
          </cell>
        </row>
        <row r="46">
          <cell r="A46" t="str">
            <v>Nombre</v>
          </cell>
          <cell r="B46" t="str">
            <v>Aplica?</v>
          </cell>
          <cell r="C46" t="str">
            <v>Índice</v>
          </cell>
          <cell r="D46" t="str">
            <v>Sigil</v>
          </cell>
          <cell r="E46" t="str">
            <v>Aclaración con Sigil</v>
          </cell>
          <cell r="F46" t="str">
            <v>Sección</v>
          </cell>
          <cell r="G46" t="str">
            <v>Sección.Índice</v>
          </cell>
          <cell r="H46" t="str">
            <v>Sección.Nombre</v>
          </cell>
        </row>
        <row r="47">
          <cell r="A47" t="str">
            <v>Aclaración Tasa</v>
          </cell>
          <cell r="B47" t="b">
            <v>0</v>
          </cell>
          <cell r="C47">
            <v>0</v>
          </cell>
          <cell r="D47">
            <v>0</v>
          </cell>
          <cell r="E47" t="str">
            <v/>
          </cell>
          <cell r="F47" t="str">
            <v>Aclaraciones sin Sigil</v>
          </cell>
          <cell r="G47" t="str">
            <v>Aclaraciones sin Sigil.0</v>
          </cell>
          <cell r="H47" t="str">
            <v>Aclaraciones sin Sigil.Aclaración Tasa</v>
          </cell>
        </row>
        <row r="48">
          <cell r="A48" t="str">
            <v>Descuento en Subtasas</v>
          </cell>
          <cell r="B48" t="b">
            <v>1</v>
          </cell>
          <cell r="C48">
            <v>1</v>
          </cell>
          <cell r="E48" t="str">
            <v>La Tasas Flexibles y Dinámica, al pagar puntualmente durante 12 meses consecutivos obtendrás descuento en tasa de 0.2% hasta llegar a la tasa de 9.85%.</v>
          </cell>
          <cell r="F48" t="str">
            <v>Aclaraciones sin Sigil</v>
          </cell>
          <cell r="G48" t="str">
            <v>Aclaraciones sin Sigil.1</v>
          </cell>
          <cell r="H48" t="str">
            <v>Aclaraciones sin Sigil.Descuento en Subtasas</v>
          </cell>
        </row>
      </sheetData>
      <sheetData sheetId="26" refreshError="1">
        <row r="4">
          <cell r="A4" t="str">
            <v>Etiqueta</v>
          </cell>
          <cell r="B4" t="str">
            <v>Contenido</v>
          </cell>
          <cell r="C4" t="str">
            <v>Sección</v>
          </cell>
          <cell r="D4" t="str">
            <v>Nombre Aclaración</v>
          </cell>
          <cell r="E4" t="str">
            <v>Llave de Búsqueda</v>
          </cell>
          <cell r="F4" t="str">
            <v>Sigil</v>
          </cell>
          <cell r="G4" t="str">
            <v>Texto Etiqueta</v>
          </cell>
          <cell r="H4" t="str">
            <v>Sección.Etiqueta</v>
          </cell>
        </row>
        <row r="5">
          <cell r="A5" t="str">
            <v>Tasa de Interés Anual (Fija)</v>
          </cell>
          <cell r="B5" t="str">
            <v>Tasa de Interés Anual (Fija)</v>
          </cell>
          <cell r="C5" t="str">
            <v>Cotización</v>
          </cell>
          <cell r="D5" t="str">
            <v>Comportamiento Tasa</v>
          </cell>
          <cell r="E5" t="str">
            <v>Cotización.Comportamiento Tasa</v>
          </cell>
          <cell r="F5" t="str">
            <v xml:space="preserve"> * </v>
          </cell>
          <cell r="G5" t="str">
            <v xml:space="preserve">Tasa de Interés Anual (Fija) * </v>
          </cell>
          <cell r="H5" t="str">
            <v>Cotización.Tasa de Interés Anual (Fija)</v>
          </cell>
        </row>
        <row r="6">
          <cell r="A6" t="str">
            <v>Gastos Notariales</v>
          </cell>
          <cell r="B6" t="str">
            <v>Gastos Notariales</v>
          </cell>
          <cell r="C6" t="str">
            <v>Cotización</v>
          </cell>
          <cell r="D6" t="str">
            <v>Gastos Notariales</v>
          </cell>
          <cell r="E6" t="str">
            <v>Cotización.Gastos Notariales</v>
          </cell>
          <cell r="F6" t="str">
            <v xml:space="preserve"> ** </v>
          </cell>
          <cell r="G6" t="str">
            <v xml:space="preserve">Gastos Notariales ** </v>
          </cell>
          <cell r="H6" t="str">
            <v>Cotización.Gastos Notariales</v>
          </cell>
        </row>
        <row r="7">
          <cell r="A7" t="str">
            <v>Pago Por Mil</v>
          </cell>
          <cell r="B7" t="str">
            <v>Pago Por Mil</v>
          </cell>
          <cell r="C7" t="str">
            <v>Cotización</v>
          </cell>
          <cell r="D7" t="str">
            <v>Ajuste Pago x Mil MxM</v>
          </cell>
          <cell r="E7" t="str">
            <v>Cotización.Ajuste Pago x Mil MxM</v>
          </cell>
          <cell r="F7" t="str">
            <v/>
          </cell>
          <cell r="G7" t="str">
            <v>Pago Por Mil</v>
          </cell>
          <cell r="H7" t="str">
            <v>Cotización.Pago Por Mil</v>
          </cell>
        </row>
        <row r="8">
          <cell r="A8" t="str">
            <v>Pago Mensual</v>
          </cell>
          <cell r="B8" t="str">
            <v>Pago Mensual</v>
          </cell>
          <cell r="C8" t="str">
            <v>Cotización</v>
          </cell>
          <cell r="D8" t="str">
            <v>Primer Pago</v>
          </cell>
          <cell r="E8" t="str">
            <v>Cotización.Primer Pago</v>
          </cell>
          <cell r="F8" t="str">
            <v xml:space="preserve"> *** </v>
          </cell>
          <cell r="G8" t="str">
            <v xml:space="preserve">Pago Mensual *** </v>
          </cell>
          <cell r="H8" t="str">
            <v>Cotización.Pago Mensual</v>
          </cell>
        </row>
        <row r="9">
          <cell r="A9" t="str">
            <v>Total Pago Mensual</v>
          </cell>
          <cell r="B9" t="str">
            <v>Total Pago Mensual</v>
          </cell>
          <cell r="C9" t="str">
            <v>Cotización</v>
          </cell>
          <cell r="D9" t="str">
            <v>Primer Pago</v>
          </cell>
          <cell r="E9" t="str">
            <v>Cotización.Primer Pago</v>
          </cell>
          <cell r="F9" t="str">
            <v xml:space="preserve"> *** </v>
          </cell>
          <cell r="G9" t="str">
            <v xml:space="preserve">Total Pago Mensual *** </v>
          </cell>
          <cell r="H9" t="str">
            <v>Cotización.Total Pago Mensual</v>
          </cell>
        </row>
        <row r="10">
          <cell r="C10">
            <v>0</v>
          </cell>
        </row>
        <row r="11">
          <cell r="C11">
            <v>0</v>
          </cell>
          <cell r="D11">
            <v>0</v>
          </cell>
        </row>
        <row r="12">
          <cell r="A12" t="str">
            <v>Etiqueta</v>
          </cell>
          <cell r="B12" t="str">
            <v>Contenido</v>
          </cell>
          <cell r="C12" t="str">
            <v>Sección</v>
          </cell>
          <cell r="D12" t="str">
            <v>Nombre Aclaración</v>
          </cell>
          <cell r="E12" t="str">
            <v>Llave de Búsqueda</v>
          </cell>
          <cell r="F12" t="str">
            <v>Sigil</v>
          </cell>
          <cell r="G12" t="str">
            <v>Texto Etiqueta</v>
          </cell>
          <cell r="H12" t="str">
            <v>Sección.Etiqueta</v>
          </cell>
        </row>
        <row r="13">
          <cell r="A13" t="str">
            <v>Tasa de Interés Anual (Fija)</v>
          </cell>
          <cell r="B13" t="str">
            <v>Tasa de Interés Anual (Fija)</v>
          </cell>
          <cell r="C13" t="str">
            <v>Tabla Cliente</v>
          </cell>
          <cell r="D13" t="str">
            <v>Comportamiento Tasa</v>
          </cell>
          <cell r="E13" t="str">
            <v>Tabla Cliente.Comportamiento Tasa</v>
          </cell>
          <cell r="F13" t="str">
            <v xml:space="preserve"> * </v>
          </cell>
          <cell r="G13" t="str">
            <v xml:space="preserve">Tasa de Interés Anual (Fija) * </v>
          </cell>
          <cell r="H13" t="str">
            <v>Tabla Cliente.Tasa de Interés Anual (Fija)</v>
          </cell>
        </row>
        <row r="14">
          <cell r="A14" t="str">
            <v>Gastos Notariales</v>
          </cell>
          <cell r="B14" t="str">
            <v>Gastos Notariales</v>
          </cell>
          <cell r="C14" t="str">
            <v>Tabla Cliente</v>
          </cell>
          <cell r="D14" t="str">
            <v>Gastos Notariales</v>
          </cell>
          <cell r="E14" t="str">
            <v>Tabla Cliente.Gastos Notariales</v>
          </cell>
          <cell r="F14" t="str">
            <v xml:space="preserve"> ** </v>
          </cell>
          <cell r="G14" t="str">
            <v xml:space="preserve">Gastos Notariales ** </v>
          </cell>
          <cell r="H14" t="str">
            <v>Tabla Cliente.Gastos Notariales</v>
          </cell>
        </row>
        <row r="15">
          <cell r="A15" t="str">
            <v>Monto Total de Crédito</v>
          </cell>
          <cell r="B15" t="str">
            <v>Monto Total de Crédito</v>
          </cell>
          <cell r="C15" t="str">
            <v>Tabla Cliente</v>
          </cell>
          <cell r="D15" t="str">
            <v>Crédito Incluye Apertura</v>
          </cell>
          <cell r="E15" t="str">
            <v>Tabla Cliente.Crédito Incluye Apertura</v>
          </cell>
          <cell r="F15" t="str">
            <v/>
          </cell>
          <cell r="G15" t="str">
            <v>Monto Total de Crédito</v>
          </cell>
          <cell r="H15" t="str">
            <v>Tabla Cliente.Monto Total de Crédito</v>
          </cell>
        </row>
        <row r="16">
          <cell r="A16" t="str">
            <v>Tu Ahorro es de</v>
          </cell>
          <cell r="B16" t="str">
            <v>Tu Ahorro es de</v>
          </cell>
          <cell r="C16" t="str">
            <v>Tabla Cliente</v>
          </cell>
          <cell r="D16" t="str">
            <v>Ahorro Fuerte</v>
          </cell>
          <cell r="E16" t="str">
            <v>Tabla Cliente.Ahorro Fuerte</v>
          </cell>
          <cell r="F16" t="str">
            <v xml:space="preserve"> *** </v>
          </cell>
          <cell r="G16" t="str">
            <v xml:space="preserve"> *** Tu Ahorro es de</v>
          </cell>
          <cell r="H16" t="str">
            <v>Tabla Cliente.Tu Ahorro es de</v>
          </cell>
        </row>
        <row r="17">
          <cell r="C17">
            <v>0</v>
          </cell>
          <cell r="D17">
            <v>0</v>
          </cell>
          <cell r="F17">
            <v>0</v>
          </cell>
        </row>
        <row r="18">
          <cell r="A18" t="str">
            <v>Etiqueta</v>
          </cell>
          <cell r="B18" t="str">
            <v>Contenido</v>
          </cell>
          <cell r="C18" t="str">
            <v>Sección</v>
          </cell>
          <cell r="D18" t="str">
            <v>Nombre Aclaración</v>
          </cell>
          <cell r="E18" t="str">
            <v>Llave de Búsqueda</v>
          </cell>
          <cell r="F18" t="str">
            <v>Sigil</v>
          </cell>
          <cell r="G18" t="str">
            <v>Texto Etiqueta</v>
          </cell>
          <cell r="H18" t="str">
            <v>Sección.Etiqueta</v>
          </cell>
        </row>
        <row r="19">
          <cell r="A19" t="str">
            <v>Tasa de Interés Anual (Fija)</v>
          </cell>
          <cell r="B19" t="str">
            <v>Tasa de Interés Anual (Fija)</v>
          </cell>
          <cell r="C19" t="str">
            <v>Tabla Notaría</v>
          </cell>
          <cell r="D19" t="str">
            <v>Comportamiento Tasa</v>
          </cell>
          <cell r="E19" t="str">
            <v>Tabla Notaría.Comportamiento Tasa</v>
          </cell>
          <cell r="F19" t="str">
            <v xml:space="preserve"> * </v>
          </cell>
          <cell r="G19" t="str">
            <v xml:space="preserve">Tasa de Interés Anual (Fija) * </v>
          </cell>
          <cell r="H19" t="str">
            <v>Tabla Notaría.Tasa de Interés Anual (Fija)</v>
          </cell>
        </row>
        <row r="20">
          <cell r="A20" t="str">
            <v>Monto Total de Crédito</v>
          </cell>
          <cell r="B20" t="str">
            <v>Monto Total de Crédito</v>
          </cell>
          <cell r="C20" t="str">
            <v>Tabla Notaría</v>
          </cell>
          <cell r="D20" t="str">
            <v>Crédito Incluye Apertura</v>
          </cell>
          <cell r="E20" t="str">
            <v>Tabla Notaría.Crédito Incluye Apertura</v>
          </cell>
          <cell r="F20" t="str">
            <v/>
          </cell>
          <cell r="G20" t="str">
            <v>Monto Total de Crédito</v>
          </cell>
          <cell r="H20" t="str">
            <v>Tabla Notaría.Monto Total de Crédito</v>
          </cell>
        </row>
        <row r="21">
          <cell r="C21">
            <v>0</v>
          </cell>
        </row>
        <row r="22">
          <cell r="C22">
            <v>0</v>
          </cell>
          <cell r="D22">
            <v>0</v>
          </cell>
        </row>
        <row r="23">
          <cell r="A23" t="str">
            <v>Etiqueta</v>
          </cell>
          <cell r="B23" t="str">
            <v>Contenido</v>
          </cell>
          <cell r="C23" t="str">
            <v>Sección</v>
          </cell>
          <cell r="D23" t="str">
            <v>Nombre Aclaración</v>
          </cell>
          <cell r="E23" t="str">
            <v>Llave de Búsqueda</v>
          </cell>
          <cell r="F23" t="str">
            <v>Sigil</v>
          </cell>
          <cell r="G23" t="str">
            <v>Texto Etiqueta</v>
          </cell>
          <cell r="H23" t="str">
            <v>Sección.Etiqueta</v>
          </cell>
        </row>
        <row r="24">
          <cell r="A24" t="str">
            <v>Tasas de interés anual</v>
          </cell>
          <cell r="B24" t="str">
            <v>Tasas de interés anual</v>
          </cell>
          <cell r="C24" t="str">
            <v>Oferta Vinculante</v>
          </cell>
          <cell r="D24" t="str">
            <v>Comportamiento Tasa</v>
          </cell>
          <cell r="E24" t="str">
            <v>Oferta Vinculante.Comportamiento Tasa</v>
          </cell>
          <cell r="F24" t="str">
            <v xml:space="preserve"> * </v>
          </cell>
          <cell r="G24" t="str">
            <v xml:space="preserve">Tasas de interés anual * </v>
          </cell>
          <cell r="H24" t="str">
            <v>Oferta Vinculante.Tasas de interés anual</v>
          </cell>
        </row>
      </sheetData>
      <sheetData sheetId="27" refreshError="1">
        <row r="2">
          <cell r="D2">
            <v>249592.23</v>
          </cell>
          <cell r="AH2" t="str">
            <v>Selección por Producto</v>
          </cell>
        </row>
        <row r="4">
          <cell r="D4">
            <v>124796.11500000001</v>
          </cell>
          <cell r="AH4">
            <v>2</v>
          </cell>
        </row>
        <row r="5">
          <cell r="AH5" t="str">
            <v>Selección</v>
          </cell>
        </row>
        <row r="9">
          <cell r="D9">
            <v>10570982.501427282</v>
          </cell>
          <cell r="E9" t="b">
            <v>0</v>
          </cell>
          <cell r="L9">
            <v>1234.4152037179392</v>
          </cell>
          <cell r="N9">
            <v>7963.2799999999988</v>
          </cell>
          <cell r="AH9">
            <v>1234.4152037179392</v>
          </cell>
        </row>
        <row r="10">
          <cell r="AH10">
            <v>2468.8304074358784</v>
          </cell>
        </row>
        <row r="11">
          <cell r="C11">
            <v>1</v>
          </cell>
          <cell r="E11">
            <v>240</v>
          </cell>
          <cell r="L11">
            <v>75000</v>
          </cell>
          <cell r="N11">
            <v>240</v>
          </cell>
        </row>
        <row r="12">
          <cell r="C12">
            <v>1.0526315789473684</v>
          </cell>
          <cell r="E12">
            <v>9.4999999999999998E-3</v>
          </cell>
          <cell r="L12">
            <v>78947.368421052641</v>
          </cell>
          <cell r="N12">
            <v>9.4999999999999998E-3</v>
          </cell>
        </row>
        <row r="13">
          <cell r="C13">
            <v>0</v>
          </cell>
          <cell r="L13">
            <v>0</v>
          </cell>
        </row>
        <row r="14">
          <cell r="C14">
            <v>0</v>
          </cell>
          <cell r="L14">
            <v>0</v>
          </cell>
        </row>
        <row r="15">
          <cell r="C15">
            <v>0</v>
          </cell>
          <cell r="L15">
            <v>0</v>
          </cell>
        </row>
        <row r="16">
          <cell r="C16">
            <v>0</v>
          </cell>
          <cell r="L16">
            <v>0</v>
          </cell>
        </row>
        <row r="31">
          <cell r="D31">
            <v>10570982.501427282</v>
          </cell>
        </row>
        <row r="45">
          <cell r="D45">
            <v>11608807.693240525</v>
          </cell>
        </row>
        <row r="46">
          <cell r="Y46">
            <v>3</v>
          </cell>
        </row>
        <row r="49">
          <cell r="C49">
            <v>7000001</v>
          </cell>
        </row>
        <row r="50">
          <cell r="D50">
            <v>0.1</v>
          </cell>
        </row>
        <row r="54">
          <cell r="C54">
            <v>250000</v>
          </cell>
          <cell r="D54">
            <v>6675001</v>
          </cell>
        </row>
        <row r="55">
          <cell r="C55">
            <v>250000</v>
          </cell>
          <cell r="D55">
            <v>6675001</v>
          </cell>
        </row>
        <row r="56">
          <cell r="C56">
            <v>0</v>
          </cell>
          <cell r="D56">
            <v>6675001</v>
          </cell>
        </row>
        <row r="57">
          <cell r="D57">
            <v>6675001</v>
          </cell>
        </row>
        <row r="59">
          <cell r="C59">
            <v>0</v>
          </cell>
        </row>
        <row r="60">
          <cell r="C60">
            <v>6650000.9499999993</v>
          </cell>
          <cell r="D60">
            <v>0</v>
          </cell>
        </row>
        <row r="61">
          <cell r="C61">
            <v>0</v>
          </cell>
          <cell r="D61">
            <v>0</v>
          </cell>
          <cell r="O61">
            <v>7000001</v>
          </cell>
        </row>
        <row r="62">
          <cell r="D62">
            <v>6500001</v>
          </cell>
          <cell r="O62">
            <v>700000.10000000009</v>
          </cell>
        </row>
        <row r="64">
          <cell r="O64">
            <v>250000</v>
          </cell>
        </row>
        <row r="65">
          <cell r="G65">
            <v>6500001</v>
          </cell>
          <cell r="O65">
            <v>7000001</v>
          </cell>
        </row>
        <row r="66">
          <cell r="O66">
            <v>75000</v>
          </cell>
        </row>
        <row r="68">
          <cell r="O68">
            <v>6650000.9499999993</v>
          </cell>
        </row>
        <row r="69">
          <cell r="C69">
            <v>10570982.501427282</v>
          </cell>
        </row>
        <row r="70">
          <cell r="C70">
            <v>6500001</v>
          </cell>
          <cell r="O70">
            <v>10570982.501427282</v>
          </cell>
        </row>
        <row r="71">
          <cell r="C71">
            <v>6650000.9499999993</v>
          </cell>
          <cell r="O71">
            <v>10570982.501427282</v>
          </cell>
        </row>
        <row r="72">
          <cell r="C72">
            <v>6750001</v>
          </cell>
        </row>
        <row r="73">
          <cell r="C73">
            <v>6750001</v>
          </cell>
          <cell r="O73">
            <v>6500001</v>
          </cell>
        </row>
        <row r="74">
          <cell r="O74">
            <v>6500001</v>
          </cell>
        </row>
        <row r="76">
          <cell r="O76">
            <v>6500001</v>
          </cell>
        </row>
        <row r="77">
          <cell r="C77">
            <v>7000001</v>
          </cell>
        </row>
        <row r="78">
          <cell r="O78">
            <v>0</v>
          </cell>
        </row>
        <row r="79">
          <cell r="C79">
            <v>0</v>
          </cell>
        </row>
        <row r="80">
          <cell r="O80">
            <v>6425001</v>
          </cell>
        </row>
        <row r="81">
          <cell r="O81">
            <v>0</v>
          </cell>
        </row>
        <row r="83">
          <cell r="O83">
            <v>0</v>
          </cell>
        </row>
        <row r="84">
          <cell r="O84">
            <v>0</v>
          </cell>
        </row>
        <row r="86">
          <cell r="O86">
            <v>6500001</v>
          </cell>
        </row>
        <row r="88">
          <cell r="O88">
            <v>6500001</v>
          </cell>
        </row>
        <row r="91">
          <cell r="O91">
            <v>0</v>
          </cell>
        </row>
        <row r="92">
          <cell r="O92" t="b">
            <v>0</v>
          </cell>
        </row>
        <row r="98">
          <cell r="O98" t="str">
            <v>Crédito Banorte 92.86%</v>
          </cell>
        </row>
        <row r="99">
          <cell r="O99" t="str">
            <v>(1) Monto de crédito a favor del cliente :</v>
          </cell>
        </row>
        <row r="101">
          <cell r="O101" t="str">
            <v>Aportación Adicional (Opcional):</v>
          </cell>
        </row>
        <row r="102">
          <cell r="O102" t="str">
            <v>(2) En caso de necesitar un menor monto de crédito Banorte, lo puedes disminuir capturando el monto deseado desde el campo "Aportación Adicional (Opcional)"</v>
          </cell>
        </row>
        <row r="104">
          <cell r="O104">
            <v>372900.05220000003</v>
          </cell>
        </row>
        <row r="105">
          <cell r="O105" t="str">
            <v>Monto a pagar por el cliente</v>
          </cell>
        </row>
      </sheetData>
      <sheetData sheetId="28" refreshError="1">
        <row r="7">
          <cell r="D7">
            <v>1</v>
          </cell>
          <cell r="E7" t="str">
            <v>Amplio</v>
          </cell>
        </row>
        <row r="8">
          <cell r="E8" t="str">
            <v>Básico</v>
          </cell>
        </row>
        <row r="9">
          <cell r="D9">
            <v>3</v>
          </cell>
          <cell r="E9" t="str">
            <v>No</v>
          </cell>
        </row>
        <row r="12">
          <cell r="E12" t="str">
            <v>Sí</v>
          </cell>
        </row>
        <row r="13">
          <cell r="E13" t="str">
            <v>No</v>
          </cell>
        </row>
        <row r="34">
          <cell r="F34" t="str">
            <v xml:space="preserve"> </v>
          </cell>
        </row>
        <row r="35">
          <cell r="F35" t="str">
            <v xml:space="preserve"> </v>
          </cell>
        </row>
        <row r="36">
          <cell r="F36" t="str">
            <v>Vida, Enfermedades Graves y Momentos de Vida.</v>
          </cell>
        </row>
        <row r="37">
          <cell r="F37" t="str">
            <v>Daños y Contenidos.</v>
          </cell>
        </row>
        <row r="39">
          <cell r="F39" t="b">
            <v>1</v>
          </cell>
        </row>
        <row r="40">
          <cell r="F40" t="b">
            <v>1</v>
          </cell>
        </row>
        <row r="42">
          <cell r="F42" t="str">
            <v>Seguro de Vida, Enfermedades Graves y Momentos de Vida.</v>
          </cell>
        </row>
        <row r="43">
          <cell r="F43" t="str">
            <v>Seguro de Daños y Contenidos.</v>
          </cell>
        </row>
      </sheetData>
      <sheetData sheetId="29" refreshError="1">
        <row r="6">
          <cell r="B6">
            <v>6500001</v>
          </cell>
        </row>
        <row r="12">
          <cell r="B12" t="str">
            <v>No</v>
          </cell>
        </row>
        <row r="13">
          <cell r="B13">
            <v>0</v>
          </cell>
        </row>
        <row r="14">
          <cell r="B14">
            <v>0</v>
          </cell>
        </row>
        <row r="15">
          <cell r="B15">
            <v>0</v>
          </cell>
        </row>
        <row r="21">
          <cell r="B21" t="str">
            <v/>
          </cell>
        </row>
        <row r="28">
          <cell r="B28" t="str">
            <v>01</v>
          </cell>
        </row>
        <row r="29">
          <cell r="B29">
            <v>1000000000000</v>
          </cell>
        </row>
      </sheetData>
      <sheetData sheetId="30" refreshError="1">
        <row r="5">
          <cell r="A5">
            <v>1</v>
          </cell>
          <cell r="B5">
            <v>2</v>
          </cell>
          <cell r="C5">
            <v>3</v>
          </cell>
          <cell r="D5">
            <v>4</v>
          </cell>
          <cell r="E5">
            <v>5</v>
          </cell>
          <cell r="F5">
            <v>6</v>
          </cell>
          <cell r="G5">
            <v>0</v>
          </cell>
          <cell r="H5">
            <v>0</v>
          </cell>
          <cell r="I5">
            <v>9</v>
          </cell>
          <cell r="J5">
            <v>0</v>
          </cell>
          <cell r="K5">
            <v>0</v>
          </cell>
          <cell r="L5">
            <v>12</v>
          </cell>
          <cell r="M5">
            <v>0</v>
          </cell>
          <cell r="N5">
            <v>0</v>
          </cell>
        </row>
        <row r="6">
          <cell r="A6" t="str">
            <v>Nota Numero</v>
          </cell>
          <cell r="B6" t="str">
            <v>Descripción</v>
          </cell>
          <cell r="C6" t="str">
            <v>Aplica</v>
          </cell>
          <cell r="D6" t="str">
            <v>Índice Asignado</v>
          </cell>
          <cell r="E6" t="str">
            <v>Nota</v>
          </cell>
          <cell r="F6" t="str">
            <v>Sigil 1</v>
          </cell>
          <cell r="G6" t="str">
            <v>S1 Si</v>
          </cell>
          <cell r="H6" t="str">
            <v>S1 No</v>
          </cell>
          <cell r="I6" t="str">
            <v>Sigil 2</v>
          </cell>
          <cell r="J6" t="str">
            <v>S2 Si</v>
          </cell>
          <cell r="K6" t="str">
            <v>S2 No</v>
          </cell>
          <cell r="L6" t="str">
            <v>Sigil 2</v>
          </cell>
          <cell r="M6" t="str">
            <v>S2 Si</v>
          </cell>
          <cell r="N6" t="str">
            <v>S2 No</v>
          </cell>
        </row>
        <row r="7">
          <cell r="A7">
            <v>1</v>
          </cell>
          <cell r="B7" t="str">
            <v>Seguro de Desempleo</v>
          </cell>
          <cell r="C7" t="b">
            <v>1</v>
          </cell>
          <cell r="D7">
            <v>1</v>
          </cell>
          <cell r="E7" t="str">
            <v>Aplica si el Solicitante cubre los requisitos de elegibilidad vigentes en la póliza de vida colectiva.</v>
          </cell>
          <cell r="F7" t="str">
            <v>Gratis durante toda la vida del crédito.(1)</v>
          </cell>
          <cell r="G7" t="str">
            <v>Gratis durante toda la vida del crédito.(1)</v>
          </cell>
          <cell r="H7" t="str">
            <v>No Aplica</v>
          </cell>
        </row>
        <row r="8">
          <cell r="A8">
            <v>2</v>
          </cell>
          <cell r="B8" t="str">
            <v>Componentes CAT</v>
          </cell>
          <cell r="C8" t="b">
            <v>1</v>
          </cell>
          <cell r="D8">
            <v>2</v>
          </cell>
          <cell r="E8" t="str">
            <v>Los valores son los referidos a cada concepto indicado en el cuerpo de la presente oferta, sin considerar I.V.A.</v>
          </cell>
          <cell r="F8" t="str">
            <v>(2)</v>
          </cell>
          <cell r="G8" t="str">
            <v>(2)</v>
          </cell>
          <cell r="H8" t="str">
            <v/>
          </cell>
        </row>
        <row r="9">
          <cell r="A9">
            <v>3</v>
          </cell>
          <cell r="B9" t="str">
            <v>Monto Devolución</v>
          </cell>
          <cell r="C9" t="b">
            <v>0</v>
          </cell>
          <cell r="D9">
            <v>0</v>
          </cell>
          <cell r="E9" t="str">
            <v>Solo aplica si el Solicitante paga puntualmente y es sobre el monto solicitado sin incluir comisión por apertura en caso de ser financiada.</v>
          </cell>
          <cell r="F9" t="str">
            <v/>
          </cell>
          <cell r="G9" t="str">
            <v>(0)</v>
          </cell>
          <cell r="H9" t="str">
            <v/>
          </cell>
        </row>
        <row r="10">
          <cell r="A10">
            <v>4</v>
          </cell>
          <cell r="B10" t="str">
            <v>Seguro Vida Amplio o Momentos</v>
          </cell>
          <cell r="C10" t="b">
            <v>1</v>
          </cell>
          <cell r="D10">
            <v>3</v>
          </cell>
          <cell r="E10" t="str">
            <v>Enfermedades Graves y Momentos de Vida solo aplica cuando participa una mujer como acreditada o coacreditada al contratarse un crédito nuevo.</v>
          </cell>
          <cell r="F10" t="str">
            <v>(3)</v>
          </cell>
          <cell r="G10" t="str">
            <v>(3)</v>
          </cell>
          <cell r="H10" t="str">
            <v/>
          </cell>
          <cell r="I10" t="str">
            <v>Vida, enfermedades graves y momentos de vida.</v>
          </cell>
          <cell r="J10" t="str">
            <v>Vida, enfermedades graves y momentos de vida.</v>
          </cell>
          <cell r="K10" t="str">
            <v>Vida.</v>
          </cell>
          <cell r="L10" t="str">
            <v>Daños, contenidos y servicio de asistencia.</v>
          </cell>
          <cell r="M10" t="str">
            <v>Daños, contenidos y servicio de asistencia.</v>
          </cell>
          <cell r="N10" t="str">
            <v>Daños y contenidos.</v>
          </cell>
        </row>
        <row r="11">
          <cell r="A11">
            <v>5</v>
          </cell>
          <cell r="B11" t="str">
            <v>Aceptación Avalúo Subrogación</v>
          </cell>
          <cell r="C11" t="b">
            <v>0</v>
          </cell>
          <cell r="D11">
            <v>0</v>
          </cell>
          <cell r="E11" t="str">
            <v>Aceptación  de Avalúo aplica cuando se presenta Avalúo existente. Cuando no se presenta, aplicará costo de avaluó de 0.30% más IVA</v>
          </cell>
          <cell r="F11" t="str">
            <v/>
          </cell>
          <cell r="G11" t="str">
            <v>(0)</v>
          </cell>
          <cell r="H11" t="str">
            <v/>
          </cell>
        </row>
        <row r="12">
          <cell r="A12">
            <v>6</v>
          </cell>
          <cell r="B12" t="str">
            <v>Gastos Notariales Especial</v>
          </cell>
          <cell r="C12" t="b">
            <v>0</v>
          </cell>
          <cell r="D12">
            <v>0</v>
          </cell>
          <cell r="E12" t="str">
            <v/>
          </cell>
          <cell r="F12" t="str">
            <v/>
          </cell>
          <cell r="G12" t="str">
            <v>(0)</v>
          </cell>
          <cell r="H12" t="str">
            <v/>
          </cell>
        </row>
      </sheetData>
      <sheetData sheetId="31" refreshError="1">
        <row r="9">
          <cell r="E9">
            <v>79646.56372413793</v>
          </cell>
        </row>
      </sheetData>
      <sheetData sheetId="32" refreshError="1">
        <row r="6">
          <cell r="Q6">
            <v>0.13458772227200955</v>
          </cell>
        </row>
      </sheetData>
      <sheetData sheetId="33" refreshError="1">
        <row r="6">
          <cell r="Q6" t="e">
            <v>#VALUE!</v>
          </cell>
          <cell r="T6" t="e">
            <v>#VALUE!</v>
          </cell>
        </row>
      </sheetData>
      <sheetData sheetId="34" refreshError="1">
        <row r="6">
          <cell r="Q6">
            <v>0.13319035935107393</v>
          </cell>
        </row>
      </sheetData>
      <sheetData sheetId="35" refreshError="1">
        <row r="6">
          <cell r="Q6">
            <v>0.1332226852215681</v>
          </cell>
        </row>
        <row r="10">
          <cell r="U10">
            <v>7120.5954000000002</v>
          </cell>
          <cell r="V10">
            <v>7120.5954000000002</v>
          </cell>
          <cell r="W10">
            <v>7120.5954000000002</v>
          </cell>
        </row>
        <row r="11">
          <cell r="U11">
            <v>7188.2411000000002</v>
          </cell>
          <cell r="V11">
            <v>7188.2411000000002</v>
          </cell>
          <cell r="W11">
            <v>7188.2411000000002</v>
          </cell>
        </row>
        <row r="12">
          <cell r="U12">
            <v>7256.5294000000004</v>
          </cell>
          <cell r="V12">
            <v>7256.5294000000004</v>
          </cell>
          <cell r="W12">
            <v>7256.5294000000004</v>
          </cell>
        </row>
        <row r="13">
          <cell r="U13">
            <v>7325.4664000000002</v>
          </cell>
          <cell r="V13">
            <v>7325.4664000000002</v>
          </cell>
          <cell r="W13">
            <v>7325.4664000000002</v>
          </cell>
        </row>
        <row r="14">
          <cell r="U14">
            <v>7395.0582999999997</v>
          </cell>
          <cell r="V14">
            <v>7395.0582999999997</v>
          </cell>
          <cell r="W14">
            <v>7395.0582999999997</v>
          </cell>
        </row>
        <row r="15">
          <cell r="U15">
            <v>7465.3113999999996</v>
          </cell>
          <cell r="V15">
            <v>7465.3113999999996</v>
          </cell>
          <cell r="W15">
            <v>7465.3113999999996</v>
          </cell>
        </row>
        <row r="16">
          <cell r="U16">
            <v>7536.2317999999996</v>
          </cell>
          <cell r="V16">
            <v>7536.2317999999996</v>
          </cell>
          <cell r="W16">
            <v>7536.2317999999996</v>
          </cell>
        </row>
        <row r="17">
          <cell r="U17">
            <v>7607.826</v>
          </cell>
          <cell r="V17">
            <v>7607.826</v>
          </cell>
          <cell r="W17">
            <v>7607.826</v>
          </cell>
        </row>
        <row r="18">
          <cell r="U18">
            <v>7680.1004000000003</v>
          </cell>
          <cell r="V18">
            <v>7680.1004000000003</v>
          </cell>
          <cell r="W18">
            <v>7680.1004000000003</v>
          </cell>
        </row>
        <row r="19">
          <cell r="U19">
            <v>7753.0613000000003</v>
          </cell>
          <cell r="V19">
            <v>7753.0613000000003</v>
          </cell>
          <cell r="W19">
            <v>7753.0613000000003</v>
          </cell>
        </row>
        <row r="20">
          <cell r="U20">
            <v>7826.7154</v>
          </cell>
          <cell r="V20">
            <v>7826.7154</v>
          </cell>
          <cell r="W20">
            <v>7826.7154</v>
          </cell>
        </row>
        <row r="21">
          <cell r="U21">
            <v>7901.0691999999999</v>
          </cell>
          <cell r="V21">
            <v>7901.0691999999999</v>
          </cell>
          <cell r="W21">
            <v>7901.0691999999999</v>
          </cell>
        </row>
        <row r="22">
          <cell r="U22">
            <v>7976.1293999999998</v>
          </cell>
          <cell r="V22">
            <v>8180.6306999999997</v>
          </cell>
          <cell r="W22">
            <v>9058.6977999999999</v>
          </cell>
        </row>
        <row r="23">
          <cell r="U23">
            <v>8051.9026000000003</v>
          </cell>
          <cell r="V23">
            <v>8257.2288000000008</v>
          </cell>
          <cell r="W23">
            <v>9133.1239999999998</v>
          </cell>
        </row>
        <row r="24">
          <cell r="U24">
            <v>8128.3957</v>
          </cell>
          <cell r="V24">
            <v>8334.5455999999995</v>
          </cell>
          <cell r="W24">
            <v>9208.2572</v>
          </cell>
        </row>
        <row r="25">
          <cell r="U25">
            <v>8205.6154000000006</v>
          </cell>
          <cell r="V25">
            <v>8412.5877</v>
          </cell>
          <cell r="W25">
            <v>9284.1041000000005</v>
          </cell>
        </row>
        <row r="26">
          <cell r="U26">
            <v>8283.5687999999991</v>
          </cell>
          <cell r="V26">
            <v>8491.3621000000003</v>
          </cell>
          <cell r="W26">
            <v>9360.6715999999997</v>
          </cell>
        </row>
        <row r="27">
          <cell r="U27">
            <v>8362.2626999999993</v>
          </cell>
          <cell r="V27">
            <v>8570.8755999999994</v>
          </cell>
          <cell r="W27">
            <v>9437.9665999999997</v>
          </cell>
        </row>
        <row r="28">
          <cell r="U28">
            <v>8441.7042000000001</v>
          </cell>
          <cell r="V28">
            <v>8651.1350999999995</v>
          </cell>
          <cell r="W28">
            <v>9515.9958000000006</v>
          </cell>
        </row>
        <row r="29">
          <cell r="U29">
            <v>8521.9004000000004</v>
          </cell>
          <cell r="V29">
            <v>8732.1476999999995</v>
          </cell>
          <cell r="W29">
            <v>9594.7662</v>
          </cell>
        </row>
        <row r="30">
          <cell r="U30">
            <v>8602.8583999999992</v>
          </cell>
          <cell r="V30">
            <v>8813.9204000000009</v>
          </cell>
          <cell r="W30">
            <v>9674.2849999999999</v>
          </cell>
        </row>
        <row r="31">
          <cell r="U31">
            <v>8684.5856000000003</v>
          </cell>
          <cell r="V31">
            <v>8896.4604999999992</v>
          </cell>
          <cell r="W31">
            <v>9754.5593000000008</v>
          </cell>
        </row>
        <row r="32">
          <cell r="U32">
            <v>8767.0890999999992</v>
          </cell>
          <cell r="V32">
            <v>8979.7749999999996</v>
          </cell>
          <cell r="W32">
            <v>9835.5961000000007</v>
          </cell>
        </row>
        <row r="33">
          <cell r="U33">
            <v>8850.3765000000003</v>
          </cell>
          <cell r="V33">
            <v>9063.8714</v>
          </cell>
          <cell r="W33">
            <v>9917.4027999999998</v>
          </cell>
        </row>
        <row r="34">
          <cell r="U34">
            <v>8934.4550999999992</v>
          </cell>
          <cell r="V34">
            <v>9367.3930999999993</v>
          </cell>
          <cell r="W34">
            <v>11065.5182</v>
          </cell>
        </row>
        <row r="35">
          <cell r="U35">
            <v>9019.3323999999993</v>
          </cell>
          <cell r="V35">
            <v>9453.8688999999995</v>
          </cell>
          <cell r="W35">
            <v>11147.3776</v>
          </cell>
        </row>
        <row r="36">
          <cell r="U36">
            <v>9105.0161000000007</v>
          </cell>
          <cell r="V36">
            <v>9541.1463999999996</v>
          </cell>
          <cell r="W36">
            <v>11230.014800000001</v>
          </cell>
        </row>
        <row r="37">
          <cell r="U37">
            <v>9191.5136999999995</v>
          </cell>
          <cell r="V37">
            <v>9629.2330000000002</v>
          </cell>
          <cell r="W37">
            <v>11313.436900000001</v>
          </cell>
        </row>
        <row r="38">
          <cell r="U38">
            <v>9278.8330999999998</v>
          </cell>
          <cell r="V38">
            <v>9718.1363000000001</v>
          </cell>
          <cell r="W38">
            <v>11397.651599999999</v>
          </cell>
        </row>
        <row r="39">
          <cell r="U39">
            <v>9366.982</v>
          </cell>
          <cell r="V39">
            <v>9807.8639000000003</v>
          </cell>
          <cell r="W39">
            <v>11482.6664</v>
          </cell>
        </row>
        <row r="40">
          <cell r="U40">
            <v>9455.9683000000005</v>
          </cell>
          <cell r="V40">
            <v>9898.4235000000008</v>
          </cell>
          <cell r="W40">
            <v>11568.4887</v>
          </cell>
        </row>
        <row r="41">
          <cell r="U41">
            <v>9545.7999999999993</v>
          </cell>
          <cell r="V41">
            <v>9989.8228999999992</v>
          </cell>
          <cell r="W41">
            <v>11655.126399999999</v>
          </cell>
        </row>
        <row r="42">
          <cell r="U42">
            <v>9636.4850999999999</v>
          </cell>
          <cell r="V42">
            <v>10082.069799999999</v>
          </cell>
          <cell r="W42">
            <v>11742.5872</v>
          </cell>
        </row>
        <row r="43">
          <cell r="U43">
            <v>9728.0316999999995</v>
          </cell>
          <cell r="V43">
            <v>10175.1723</v>
          </cell>
          <cell r="W43">
            <v>11830.8788</v>
          </cell>
        </row>
        <row r="44">
          <cell r="U44">
            <v>9820.4480000000003</v>
          </cell>
          <cell r="V44">
            <v>10269.138199999999</v>
          </cell>
          <cell r="W44">
            <v>11920.0092</v>
          </cell>
        </row>
        <row r="45">
          <cell r="U45">
            <v>9913.7422999999999</v>
          </cell>
          <cell r="V45">
            <v>10363.9756</v>
          </cell>
          <cell r="W45">
            <v>12009.9863</v>
          </cell>
        </row>
        <row r="46">
          <cell r="U46">
            <v>10007.9228</v>
          </cell>
          <cell r="V46">
            <v>10691.9092</v>
          </cell>
          <cell r="W46">
            <v>13147.2659</v>
          </cell>
        </row>
        <row r="47">
          <cell r="U47">
            <v>10102.998100000001</v>
          </cell>
          <cell r="V47">
            <v>10789.258099999999</v>
          </cell>
          <cell r="W47">
            <v>13237.270500000001</v>
          </cell>
        </row>
        <row r="48">
          <cell r="U48">
            <v>10198.9766</v>
          </cell>
          <cell r="V48">
            <v>10887.499299999999</v>
          </cell>
          <cell r="W48">
            <v>13328.1301</v>
          </cell>
        </row>
        <row r="49">
          <cell r="U49">
            <v>10295.866900000001</v>
          </cell>
          <cell r="V49">
            <v>10986.641</v>
          </cell>
          <cell r="W49">
            <v>13419.8529</v>
          </cell>
        </row>
        <row r="50">
          <cell r="U50">
            <v>10393.677600000001</v>
          </cell>
          <cell r="V50">
            <v>11086.691699999999</v>
          </cell>
          <cell r="W50">
            <v>13512.447099999999</v>
          </cell>
        </row>
        <row r="51">
          <cell r="U51">
            <v>10492.4175</v>
          </cell>
          <cell r="V51">
            <v>11187.6597</v>
          </cell>
          <cell r="W51">
            <v>13605.920899999999</v>
          </cell>
        </row>
        <row r="52">
          <cell r="U52">
            <v>10592.095499999999</v>
          </cell>
          <cell r="V52">
            <v>11289.5535</v>
          </cell>
          <cell r="W52">
            <v>13700.2827</v>
          </cell>
        </row>
        <row r="53">
          <cell r="U53">
            <v>10692.7204</v>
          </cell>
          <cell r="V53">
            <v>11392.3817</v>
          </cell>
          <cell r="W53">
            <v>13795.5409</v>
          </cell>
        </row>
        <row r="54">
          <cell r="U54">
            <v>10794.301299999999</v>
          </cell>
          <cell r="V54">
            <v>11496.152899999999</v>
          </cell>
          <cell r="W54">
            <v>13891.704100000001</v>
          </cell>
        </row>
        <row r="55">
          <cell r="U55">
            <v>10896.847100000001</v>
          </cell>
          <cell r="V55">
            <v>11600.875899999999</v>
          </cell>
          <cell r="W55">
            <v>13988.7809</v>
          </cell>
        </row>
        <row r="56">
          <cell r="U56">
            <v>11000.367200000001</v>
          </cell>
          <cell r="V56">
            <v>11706.5594</v>
          </cell>
          <cell r="W56">
            <v>14086.7798</v>
          </cell>
        </row>
        <row r="57">
          <cell r="U57">
            <v>11104.870699999999</v>
          </cell>
          <cell r="V57">
            <v>11813.2124</v>
          </cell>
          <cell r="W57">
            <v>14185.709800000001</v>
          </cell>
        </row>
        <row r="58">
          <cell r="U58">
            <v>11210.366900000001</v>
          </cell>
          <cell r="V58">
            <v>12165.810299999999</v>
          </cell>
          <cell r="W58">
            <v>15310.6505</v>
          </cell>
        </row>
        <row r="59">
          <cell r="U59">
            <v>11316.865400000001</v>
          </cell>
          <cell r="V59">
            <v>12275.102699999999</v>
          </cell>
          <cell r="W59">
            <v>15409.575800000001</v>
          </cell>
        </row>
        <row r="60">
          <cell r="U60">
            <v>11424.375599999999</v>
          </cell>
          <cell r="V60">
            <v>12385.3863</v>
          </cell>
          <cell r="W60">
            <v>15509.4408</v>
          </cell>
        </row>
        <row r="61">
          <cell r="U61">
            <v>11532.9072</v>
          </cell>
          <cell r="V61">
            <v>12496.6702</v>
          </cell>
          <cell r="W61">
            <v>15610.2546</v>
          </cell>
        </row>
        <row r="62">
          <cell r="U62">
            <v>11642.469800000001</v>
          </cell>
          <cell r="V62">
            <v>12608.9637</v>
          </cell>
          <cell r="W62">
            <v>15712.026099999999</v>
          </cell>
        </row>
        <row r="63">
          <cell r="U63">
            <v>11753.0733</v>
          </cell>
          <cell r="V63">
            <v>12722.275900000001</v>
          </cell>
          <cell r="W63">
            <v>15814.7644</v>
          </cell>
        </row>
        <row r="64">
          <cell r="U64">
            <v>11864.727500000001</v>
          </cell>
          <cell r="V64">
            <v>12836.6162</v>
          </cell>
          <cell r="W64">
            <v>15918.478800000001</v>
          </cell>
        </row>
        <row r="65">
          <cell r="U65">
            <v>11977.4424</v>
          </cell>
          <cell r="V65">
            <v>12951.994199999999</v>
          </cell>
          <cell r="W65">
            <v>16023.178400000001</v>
          </cell>
        </row>
        <row r="66">
          <cell r="U66">
            <v>12091.2281</v>
          </cell>
          <cell r="V66">
            <v>13068.4192</v>
          </cell>
          <cell r="W66">
            <v>16128.8727</v>
          </cell>
        </row>
        <row r="67">
          <cell r="U67">
            <v>12206.094800000001</v>
          </cell>
          <cell r="V67">
            <v>13185.901</v>
          </cell>
          <cell r="W67">
            <v>16235.571</v>
          </cell>
        </row>
        <row r="68">
          <cell r="U68">
            <v>12322.0527</v>
          </cell>
          <cell r="V68">
            <v>13304.449199999999</v>
          </cell>
          <cell r="W68">
            <v>16343.282999999999</v>
          </cell>
        </row>
        <row r="69">
          <cell r="U69">
            <v>12439.1122</v>
          </cell>
          <cell r="V69">
            <v>13424.073700000001</v>
          </cell>
          <cell r="W69">
            <v>16452.0183</v>
          </cell>
        </row>
        <row r="70">
          <cell r="U70">
            <v>12557.2837</v>
          </cell>
          <cell r="V70">
            <v>13801.368399999999</v>
          </cell>
          <cell r="W70">
            <v>17562.9123</v>
          </cell>
        </row>
        <row r="71">
          <cell r="U71">
            <v>12676.5779</v>
          </cell>
          <cell r="V71">
            <v>13923.7554</v>
          </cell>
          <cell r="W71">
            <v>17671.602500000001</v>
          </cell>
        </row>
        <row r="72">
          <cell r="U72">
            <v>12797.0054</v>
          </cell>
          <cell r="V72">
            <v>14047.241400000001</v>
          </cell>
          <cell r="W72">
            <v>17781.325400000002</v>
          </cell>
        </row>
        <row r="73">
          <cell r="U73">
            <v>12918.576999999999</v>
          </cell>
          <cell r="V73">
            <v>14171.8364</v>
          </cell>
          <cell r="W73">
            <v>17892.0906</v>
          </cell>
        </row>
        <row r="74">
          <cell r="U74">
            <v>13041.3035</v>
          </cell>
          <cell r="V74">
            <v>14297.550499999999</v>
          </cell>
          <cell r="W74">
            <v>18003.907999999999</v>
          </cell>
        </row>
        <row r="75">
          <cell r="U75">
            <v>13165.1958</v>
          </cell>
          <cell r="V75">
            <v>14424.3941</v>
          </cell>
          <cell r="W75">
            <v>18116.787799999998</v>
          </cell>
        </row>
        <row r="76">
          <cell r="U76">
            <v>13290.2652</v>
          </cell>
          <cell r="V76">
            <v>14552.3773</v>
          </cell>
          <cell r="W76">
            <v>18230.739799999999</v>
          </cell>
        </row>
        <row r="77">
          <cell r="U77">
            <v>13416.5227</v>
          </cell>
          <cell r="V77">
            <v>14681.5106</v>
          </cell>
          <cell r="W77">
            <v>18345.7745</v>
          </cell>
        </row>
        <row r="78">
          <cell r="U78">
            <v>13543.9797</v>
          </cell>
          <cell r="V78">
            <v>14811.804400000001</v>
          </cell>
          <cell r="W78">
            <v>18461.901900000001</v>
          </cell>
        </row>
        <row r="79">
          <cell r="U79">
            <v>13672.647499999999</v>
          </cell>
          <cell r="V79">
            <v>14943.2695</v>
          </cell>
          <cell r="W79">
            <v>18579.132600000001</v>
          </cell>
        </row>
        <row r="80">
          <cell r="U80">
            <v>13802.5376</v>
          </cell>
          <cell r="V80">
            <v>15075.9164</v>
          </cell>
          <cell r="W80">
            <v>18697.476900000001</v>
          </cell>
        </row>
        <row r="81">
          <cell r="U81">
            <v>13933.661700000001</v>
          </cell>
          <cell r="V81">
            <v>15209.755999999999</v>
          </cell>
          <cell r="W81">
            <v>18816.945599999999</v>
          </cell>
        </row>
        <row r="82">
          <cell r="U82">
            <v>14066.031499999999</v>
          </cell>
          <cell r="V82">
            <v>15611.540199999999</v>
          </cell>
          <cell r="W82">
            <v>19911.852699999999</v>
          </cell>
        </row>
        <row r="83">
          <cell r="U83">
            <v>14199.658799999999</v>
          </cell>
          <cell r="V83">
            <v>15748.2595</v>
          </cell>
          <cell r="W83">
            <v>20031.2264</v>
          </cell>
        </row>
        <row r="84">
          <cell r="U84">
            <v>14334.5556</v>
          </cell>
          <cell r="V84">
            <v>15886.1952</v>
          </cell>
          <cell r="W84">
            <v>20151.734199999999</v>
          </cell>
        </row>
        <row r="85">
          <cell r="U85">
            <v>14470.733899999999</v>
          </cell>
          <cell r="V85">
            <v>16025.358399999999</v>
          </cell>
          <cell r="W85">
            <v>20273.3868</v>
          </cell>
        </row>
        <row r="86">
          <cell r="U86">
            <v>14608.2058</v>
          </cell>
          <cell r="V86">
            <v>16165.760200000001</v>
          </cell>
          <cell r="W86">
            <v>20396.195100000001</v>
          </cell>
        </row>
        <row r="87">
          <cell r="U87">
            <v>14746.9838</v>
          </cell>
          <cell r="V87">
            <v>16307.4118</v>
          </cell>
          <cell r="W87">
            <v>20520.169999999998</v>
          </cell>
        </row>
        <row r="88">
          <cell r="U88">
            <v>14887.080099999999</v>
          </cell>
          <cell r="V88">
            <v>16450.324700000001</v>
          </cell>
          <cell r="W88">
            <v>20645.322800000002</v>
          </cell>
        </row>
        <row r="89">
          <cell r="U89">
            <v>15028.5074</v>
          </cell>
          <cell r="V89">
            <v>16594.510300000002</v>
          </cell>
          <cell r="W89">
            <v>20771.664499999999</v>
          </cell>
        </row>
        <row r="90">
          <cell r="U90">
            <v>15171.278200000001</v>
          </cell>
          <cell r="V90">
            <v>16739.980100000001</v>
          </cell>
          <cell r="W90">
            <v>20899.206399999999</v>
          </cell>
        </row>
        <row r="91">
          <cell r="U91">
            <v>15315.4054</v>
          </cell>
          <cell r="V91">
            <v>16886.745699999999</v>
          </cell>
          <cell r="W91">
            <v>21027.96</v>
          </cell>
        </row>
        <row r="92">
          <cell r="U92">
            <v>15460.9017</v>
          </cell>
          <cell r="V92">
            <v>17034.819</v>
          </cell>
          <cell r="W92">
            <v>21157.936699999998</v>
          </cell>
        </row>
        <row r="93">
          <cell r="U93">
            <v>15607.7803</v>
          </cell>
          <cell r="V93">
            <v>17184.211899999998</v>
          </cell>
          <cell r="W93">
            <v>21289.1482</v>
          </cell>
        </row>
        <row r="94">
          <cell r="U94">
            <v>15756.0542</v>
          </cell>
          <cell r="V94">
            <v>17610.018400000001</v>
          </cell>
          <cell r="W94">
            <v>22365.8649</v>
          </cell>
        </row>
        <row r="95">
          <cell r="U95">
            <v>15905.736699999999</v>
          </cell>
          <cell r="V95">
            <v>17762.401300000001</v>
          </cell>
          <cell r="W95">
            <v>22496.920300000002</v>
          </cell>
        </row>
        <row r="96">
          <cell r="U96">
            <v>16056.841200000001</v>
          </cell>
          <cell r="V96">
            <v>17916.128400000001</v>
          </cell>
          <cell r="W96">
            <v>22629.220700000002</v>
          </cell>
        </row>
        <row r="97">
          <cell r="U97">
            <v>16209.3812</v>
          </cell>
          <cell r="V97">
            <v>18071.212100000001</v>
          </cell>
          <cell r="W97">
            <v>22762.777900000001</v>
          </cell>
        </row>
        <row r="98">
          <cell r="U98">
            <v>16363.3703</v>
          </cell>
          <cell r="V98">
            <v>18227.6646</v>
          </cell>
          <cell r="W98">
            <v>22897.603999999999</v>
          </cell>
        </row>
        <row r="99">
          <cell r="U99">
            <v>16518.8223</v>
          </cell>
          <cell r="V99">
            <v>18385.498100000001</v>
          </cell>
          <cell r="W99">
            <v>23033.710800000001</v>
          </cell>
        </row>
        <row r="100">
          <cell r="U100">
            <v>16675.751199999999</v>
          </cell>
          <cell r="V100">
            <v>18544.725200000001</v>
          </cell>
          <cell r="W100">
            <v>23171.110700000001</v>
          </cell>
        </row>
        <row r="101">
          <cell r="U101">
            <v>16834.1708</v>
          </cell>
          <cell r="V101">
            <v>18705.3586</v>
          </cell>
          <cell r="W101">
            <v>23309.815900000001</v>
          </cell>
        </row>
        <row r="102">
          <cell r="U102">
            <v>16994.095399999998</v>
          </cell>
          <cell r="V102">
            <v>18867.410800000001</v>
          </cell>
          <cell r="W102">
            <v>23449.838800000001</v>
          </cell>
        </row>
        <row r="103">
          <cell r="U103">
            <v>17155.5393</v>
          </cell>
          <cell r="V103">
            <v>19030.894700000001</v>
          </cell>
          <cell r="W103">
            <v>23591.191900000002</v>
          </cell>
        </row>
        <row r="104">
          <cell r="U104">
            <v>17318.516899999999</v>
          </cell>
          <cell r="V104">
            <v>19195.823400000001</v>
          </cell>
          <cell r="W104">
            <v>23733.887900000002</v>
          </cell>
        </row>
        <row r="105">
          <cell r="U105">
            <v>17483.0429</v>
          </cell>
          <cell r="V105">
            <v>19362.209800000001</v>
          </cell>
          <cell r="W105">
            <v>23877.9395</v>
          </cell>
        </row>
        <row r="106">
          <cell r="U106">
            <v>17649.131799999999</v>
          </cell>
          <cell r="V106">
            <v>19530.0671</v>
          </cell>
          <cell r="W106">
            <v>24023.359499999999</v>
          </cell>
        </row>
        <row r="107">
          <cell r="U107">
            <v>17816.798500000001</v>
          </cell>
          <cell r="V107">
            <v>19699.4087</v>
          </cell>
          <cell r="W107">
            <v>24170.161100000001</v>
          </cell>
        </row>
        <row r="108">
          <cell r="U108">
            <v>17986.058099999998</v>
          </cell>
          <cell r="V108">
            <v>19870.247899999998</v>
          </cell>
          <cell r="W108">
            <v>24318.3573</v>
          </cell>
        </row>
        <row r="109">
          <cell r="U109">
            <v>18156.925599999999</v>
          </cell>
          <cell r="V109">
            <v>20042.598399999999</v>
          </cell>
          <cell r="W109">
            <v>24467.961299999999</v>
          </cell>
        </row>
        <row r="110">
          <cell r="U110">
            <v>18329.416399999998</v>
          </cell>
          <cell r="V110">
            <v>20216.4738</v>
          </cell>
          <cell r="W110">
            <v>24618.9866</v>
          </cell>
        </row>
        <row r="111">
          <cell r="U111">
            <v>18503.545900000001</v>
          </cell>
          <cell r="V111">
            <v>20391.887999999999</v>
          </cell>
          <cell r="W111">
            <v>24771.446599999999</v>
          </cell>
        </row>
        <row r="112">
          <cell r="U112">
            <v>18679.329600000001</v>
          </cell>
          <cell r="V112">
            <v>20568.854899999998</v>
          </cell>
          <cell r="W112">
            <v>24925.355</v>
          </cell>
        </row>
        <row r="113">
          <cell r="U113">
            <v>18856.783200000002</v>
          </cell>
          <cell r="V113">
            <v>20747.388500000001</v>
          </cell>
          <cell r="W113">
            <v>25080.7255</v>
          </cell>
        </row>
        <row r="114">
          <cell r="U114">
            <v>19035.922699999999</v>
          </cell>
          <cell r="V114">
            <v>20927.503100000002</v>
          </cell>
          <cell r="W114">
            <v>25237.572</v>
          </cell>
        </row>
        <row r="115">
          <cell r="U115">
            <v>19216.763900000002</v>
          </cell>
          <cell r="V115">
            <v>21109.213</v>
          </cell>
          <cell r="W115">
            <v>25395.908599999999</v>
          </cell>
        </row>
        <row r="116">
          <cell r="U116">
            <v>19399.323199999999</v>
          </cell>
          <cell r="V116">
            <v>21292.532599999999</v>
          </cell>
          <cell r="W116">
            <v>25555.749299999999</v>
          </cell>
        </row>
        <row r="117">
          <cell r="U117">
            <v>19583.616699999999</v>
          </cell>
          <cell r="V117">
            <v>21477.476600000002</v>
          </cell>
          <cell r="W117">
            <v>25717.1086</v>
          </cell>
        </row>
        <row r="118">
          <cell r="U118">
            <v>19769.661100000001</v>
          </cell>
          <cell r="V118">
            <v>21664.059600000001</v>
          </cell>
          <cell r="W118">
            <v>25880.000800000002</v>
          </cell>
        </row>
        <row r="119">
          <cell r="U119">
            <v>19957.472900000001</v>
          </cell>
          <cell r="V119">
            <v>21852.296699999999</v>
          </cell>
          <cell r="W119">
            <v>26044.440399999999</v>
          </cell>
        </row>
        <row r="120">
          <cell r="U120">
            <v>20147.068899999998</v>
          </cell>
          <cell r="V120">
            <v>22042.202700000002</v>
          </cell>
          <cell r="W120">
            <v>26210.442299999999</v>
          </cell>
        </row>
        <row r="121">
          <cell r="U121">
            <v>20338.466</v>
          </cell>
          <cell r="V121">
            <v>22233.792799999999</v>
          </cell>
          <cell r="W121">
            <v>26378.021100000002</v>
          </cell>
        </row>
        <row r="122">
          <cell r="U122">
            <v>20531.681499999999</v>
          </cell>
          <cell r="V122">
            <v>22427.082299999998</v>
          </cell>
          <cell r="W122">
            <v>26547.191900000002</v>
          </cell>
        </row>
        <row r="123">
          <cell r="U123">
            <v>20726.732400000001</v>
          </cell>
          <cell r="V123">
            <v>22622.0867</v>
          </cell>
          <cell r="W123">
            <v>26717.9699</v>
          </cell>
        </row>
        <row r="124">
          <cell r="U124">
            <v>20923.636399999999</v>
          </cell>
          <cell r="V124">
            <v>22818.821499999998</v>
          </cell>
          <cell r="W124">
            <v>26890.370299999999</v>
          </cell>
        </row>
        <row r="125">
          <cell r="U125">
            <v>21122.410899999999</v>
          </cell>
          <cell r="V125">
            <v>23017.302500000002</v>
          </cell>
          <cell r="W125">
            <v>27064.4084</v>
          </cell>
        </row>
        <row r="126">
          <cell r="U126">
            <v>21323.073799999998</v>
          </cell>
          <cell r="V126">
            <v>23217.545399999999</v>
          </cell>
          <cell r="W126">
            <v>27240.099900000001</v>
          </cell>
        </row>
        <row r="127">
          <cell r="U127">
            <v>21525.643</v>
          </cell>
          <cell r="V127">
            <v>23419.5664</v>
          </cell>
          <cell r="W127">
            <v>27417.460500000001</v>
          </cell>
        </row>
        <row r="128">
          <cell r="U128">
            <v>21730.136699999999</v>
          </cell>
          <cell r="V128">
            <v>23623.381600000001</v>
          </cell>
          <cell r="W128">
            <v>27596.506000000001</v>
          </cell>
        </row>
        <row r="129">
          <cell r="U129">
            <v>21936.573</v>
          </cell>
          <cell r="V129">
            <v>23829.0072</v>
          </cell>
          <cell r="W129">
            <v>27777.252499999999</v>
          </cell>
        </row>
        <row r="130">
          <cell r="U130">
            <v>22144.970399999998</v>
          </cell>
          <cell r="V130">
            <v>24036.459900000002</v>
          </cell>
          <cell r="W130">
            <v>27959.716</v>
          </cell>
        </row>
        <row r="131">
          <cell r="U131">
            <v>22355.347600000001</v>
          </cell>
          <cell r="V131">
            <v>24245.756099999999</v>
          </cell>
          <cell r="W131">
            <v>28143.913</v>
          </cell>
        </row>
        <row r="132">
          <cell r="U132">
            <v>22567.723399999999</v>
          </cell>
          <cell r="V132">
            <v>24456.912700000001</v>
          </cell>
          <cell r="W132">
            <v>28329.859799999998</v>
          </cell>
        </row>
        <row r="133">
          <cell r="U133">
            <v>22782.1168</v>
          </cell>
          <cell r="V133">
            <v>24669.946599999999</v>
          </cell>
          <cell r="W133">
            <v>28517.573100000001</v>
          </cell>
        </row>
        <row r="134">
          <cell r="U134">
            <v>22998.546900000001</v>
          </cell>
          <cell r="V134">
            <v>24884.874800000001</v>
          </cell>
          <cell r="W134">
            <v>28707.0697</v>
          </cell>
        </row>
        <row r="135">
          <cell r="U135">
            <v>23217.033100000001</v>
          </cell>
          <cell r="V135">
            <v>25101.7147</v>
          </cell>
          <cell r="W135">
            <v>28898.3665</v>
          </cell>
        </row>
        <row r="136">
          <cell r="U136">
            <v>23437.5949</v>
          </cell>
          <cell r="V136">
            <v>25320.4836</v>
          </cell>
          <cell r="W136">
            <v>29091.480599999999</v>
          </cell>
        </row>
        <row r="137">
          <cell r="U137">
            <v>23660.252100000002</v>
          </cell>
          <cell r="V137">
            <v>25541.199100000002</v>
          </cell>
          <cell r="W137">
            <v>29286.4293</v>
          </cell>
        </row>
        <row r="138">
          <cell r="U138">
            <v>23885.0245</v>
          </cell>
          <cell r="V138">
            <v>25763.879000000001</v>
          </cell>
          <cell r="W138">
            <v>29483.23</v>
          </cell>
        </row>
        <row r="139">
          <cell r="U139">
            <v>24111.932199999999</v>
          </cell>
          <cell r="V139">
            <v>25988.541000000001</v>
          </cell>
          <cell r="W139">
            <v>29681.900300000001</v>
          </cell>
        </row>
        <row r="140">
          <cell r="U140">
            <v>24340.995500000001</v>
          </cell>
          <cell r="V140">
            <v>26215.203399999999</v>
          </cell>
          <cell r="W140">
            <v>29882.457999999999</v>
          </cell>
        </row>
        <row r="141">
          <cell r="U141">
            <v>24572.235000000001</v>
          </cell>
          <cell r="V141">
            <v>26443.884300000002</v>
          </cell>
          <cell r="W141">
            <v>30084.920999999998</v>
          </cell>
        </row>
        <row r="142">
          <cell r="U142">
            <v>24805.671200000001</v>
          </cell>
          <cell r="V142">
            <v>26674.602200000001</v>
          </cell>
          <cell r="W142">
            <v>30289.307400000002</v>
          </cell>
        </row>
        <row r="143">
          <cell r="U143">
            <v>25041.325099999998</v>
          </cell>
          <cell r="V143">
            <v>26907.375499999998</v>
          </cell>
          <cell r="W143">
            <v>30495.6355</v>
          </cell>
        </row>
        <row r="144">
          <cell r="U144">
            <v>25279.217700000001</v>
          </cell>
          <cell r="V144">
            <v>27142.223099999999</v>
          </cell>
          <cell r="W144">
            <v>30703.923699999999</v>
          </cell>
        </row>
        <row r="145">
          <cell r="U145">
            <v>25519.370299999999</v>
          </cell>
          <cell r="V145">
            <v>27379.1639</v>
          </cell>
          <cell r="W145">
            <v>30914.190600000002</v>
          </cell>
        </row>
        <row r="146">
          <cell r="U146">
            <v>25761.8043</v>
          </cell>
          <cell r="V146">
            <v>27618.217000000001</v>
          </cell>
          <cell r="W146">
            <v>31126.455000000002</v>
          </cell>
        </row>
        <row r="147">
          <cell r="U147">
            <v>26006.541399999998</v>
          </cell>
          <cell r="V147">
            <v>27859.401600000001</v>
          </cell>
          <cell r="W147">
            <v>31340.736000000001</v>
          </cell>
        </row>
        <row r="148">
          <cell r="U148">
            <v>26253.603599999999</v>
          </cell>
          <cell r="V148">
            <v>28102.7372</v>
          </cell>
          <cell r="W148">
            <v>31557.052599999999</v>
          </cell>
        </row>
        <row r="149">
          <cell r="U149">
            <v>26503.0128</v>
          </cell>
          <cell r="V149">
            <v>28348.2435</v>
          </cell>
          <cell r="W149">
            <v>31775.424299999999</v>
          </cell>
        </row>
        <row r="150">
          <cell r="U150">
            <v>26754.791399999998</v>
          </cell>
          <cell r="V150">
            <v>28595.940299999998</v>
          </cell>
          <cell r="W150">
            <v>31995.8704</v>
          </cell>
        </row>
        <row r="151">
          <cell r="U151">
            <v>27008.961899999998</v>
          </cell>
          <cell r="V151">
            <v>28845.8475</v>
          </cell>
          <cell r="W151">
            <v>32218.410800000001</v>
          </cell>
        </row>
        <row r="152">
          <cell r="U152">
            <v>27265.5471</v>
          </cell>
          <cell r="V152">
            <v>29097.985400000001</v>
          </cell>
          <cell r="W152">
            <v>32443.065399999999</v>
          </cell>
        </row>
        <row r="153">
          <cell r="U153">
            <v>27524.569800000001</v>
          </cell>
          <cell r="V153">
            <v>29352.374400000001</v>
          </cell>
          <cell r="W153">
            <v>32669.8541</v>
          </cell>
        </row>
        <row r="154">
          <cell r="U154">
            <v>27786.053199999998</v>
          </cell>
          <cell r="V154">
            <v>29609.035</v>
          </cell>
          <cell r="W154">
            <v>32898.797400000003</v>
          </cell>
        </row>
        <row r="155">
          <cell r="U155">
            <v>28050.020700000001</v>
          </cell>
          <cell r="V155">
            <v>29867.988000000001</v>
          </cell>
          <cell r="W155">
            <v>33129.9156</v>
          </cell>
        </row>
        <row r="156">
          <cell r="U156">
            <v>28316.495900000002</v>
          </cell>
          <cell r="V156">
            <v>30129.254400000002</v>
          </cell>
          <cell r="W156">
            <v>33363.229500000001</v>
          </cell>
        </row>
        <row r="157">
          <cell r="U157">
            <v>28585.5026</v>
          </cell>
          <cell r="V157">
            <v>30392.855299999999</v>
          </cell>
          <cell r="W157">
            <v>33598.7598</v>
          </cell>
        </row>
        <row r="158">
          <cell r="U158">
            <v>28857.064900000001</v>
          </cell>
          <cell r="V158">
            <v>30658.812000000002</v>
          </cell>
          <cell r="W158">
            <v>33836.527600000001</v>
          </cell>
        </row>
        <row r="159">
          <cell r="U159">
            <v>29131.206999999999</v>
          </cell>
          <cell r="V159">
            <v>30927.146199999999</v>
          </cell>
          <cell r="W159">
            <v>34076.554300000003</v>
          </cell>
        </row>
        <row r="160">
          <cell r="U160">
            <v>29407.9535</v>
          </cell>
          <cell r="V160">
            <v>31197.879499999999</v>
          </cell>
          <cell r="W160">
            <v>34318.861199999999</v>
          </cell>
        </row>
        <row r="161">
          <cell r="U161">
            <v>29687.329000000002</v>
          </cell>
          <cell r="V161">
            <v>31471.034</v>
          </cell>
          <cell r="W161">
            <v>34563.47</v>
          </cell>
        </row>
        <row r="162">
          <cell r="U162">
            <v>29969.3586</v>
          </cell>
          <cell r="V162">
            <v>31746.631700000002</v>
          </cell>
          <cell r="W162">
            <v>34810.402600000001</v>
          </cell>
        </row>
        <row r="163">
          <cell r="U163">
            <v>30254.067599999998</v>
          </cell>
          <cell r="V163">
            <v>32024.695100000001</v>
          </cell>
          <cell r="W163">
            <v>35059.681100000002</v>
          </cell>
        </row>
        <row r="164">
          <cell r="U164">
            <v>30541.481199999998</v>
          </cell>
          <cell r="V164">
            <v>32305.246800000001</v>
          </cell>
          <cell r="W164">
            <v>35311.327700000002</v>
          </cell>
        </row>
        <row r="165">
          <cell r="U165">
            <v>30831.6253</v>
          </cell>
          <cell r="V165">
            <v>32588.309399999998</v>
          </cell>
          <cell r="W165">
            <v>35565.364999999998</v>
          </cell>
        </row>
        <row r="166">
          <cell r="U166">
            <v>31124.525699999998</v>
          </cell>
          <cell r="V166">
            <v>32873.9061</v>
          </cell>
          <cell r="W166">
            <v>35821.815600000002</v>
          </cell>
        </row>
        <row r="167">
          <cell r="U167">
            <v>31420.208699999999</v>
          </cell>
          <cell r="V167">
            <v>33162.060100000002</v>
          </cell>
          <cell r="W167">
            <v>36080.702400000002</v>
          </cell>
        </row>
        <row r="168">
          <cell r="U168">
            <v>31718.700700000001</v>
          </cell>
          <cell r="V168">
            <v>33452.794699999999</v>
          </cell>
          <cell r="W168">
            <v>36342.048799999997</v>
          </cell>
        </row>
        <row r="169">
          <cell r="U169">
            <v>32020.028300000002</v>
          </cell>
          <cell r="V169">
            <v>33746.133699999998</v>
          </cell>
          <cell r="W169">
            <v>36605.877899999999</v>
          </cell>
        </row>
        <row r="170">
          <cell r="U170">
            <v>32324.2186</v>
          </cell>
          <cell r="V170">
            <v>34042.100899999998</v>
          </cell>
          <cell r="W170">
            <v>36872.213300000003</v>
          </cell>
        </row>
        <row r="171">
          <cell r="U171">
            <v>32631.298699999999</v>
          </cell>
          <cell r="V171">
            <v>34340.720399999998</v>
          </cell>
          <cell r="W171">
            <v>37141.078999999998</v>
          </cell>
        </row>
        <row r="172">
          <cell r="U172">
            <v>32941.296000000002</v>
          </cell>
          <cell r="V172">
            <v>34642.016600000003</v>
          </cell>
          <cell r="W172">
            <v>37412.498899999999</v>
          </cell>
        </row>
        <row r="173">
          <cell r="U173">
            <v>33254.238299999997</v>
          </cell>
          <cell r="V173">
            <v>34946.013899999998</v>
          </cell>
          <cell r="W173">
            <v>37686.497300000003</v>
          </cell>
        </row>
        <row r="174">
          <cell r="U174">
            <v>33570.153599999998</v>
          </cell>
          <cell r="V174">
            <v>35252.737200000003</v>
          </cell>
          <cell r="W174">
            <v>37963.098599999998</v>
          </cell>
        </row>
        <row r="175">
          <cell r="U175">
            <v>33889.070099999997</v>
          </cell>
          <cell r="V175">
            <v>35562.211499999998</v>
          </cell>
          <cell r="W175">
            <v>38242.327700000002</v>
          </cell>
        </row>
        <row r="176">
          <cell r="U176">
            <v>34211.016199999998</v>
          </cell>
          <cell r="V176">
            <v>35874.462099999997</v>
          </cell>
          <cell r="W176">
            <v>38524.209499999997</v>
          </cell>
        </row>
        <row r="177">
          <cell r="U177">
            <v>34536.020900000003</v>
          </cell>
          <cell r="V177">
            <v>36189.5144</v>
          </cell>
          <cell r="W177">
            <v>38808.769099999998</v>
          </cell>
        </row>
        <row r="178">
          <cell r="U178">
            <v>34864.113100000002</v>
          </cell>
          <cell r="V178">
            <v>36507.394099999998</v>
          </cell>
          <cell r="W178">
            <v>39096.032099999997</v>
          </cell>
        </row>
        <row r="179">
          <cell r="U179">
            <v>35195.322099999998</v>
          </cell>
          <cell r="V179">
            <v>36828.1273</v>
          </cell>
          <cell r="W179">
            <v>39386.023999999998</v>
          </cell>
        </row>
        <row r="180">
          <cell r="U180">
            <v>35529.6777</v>
          </cell>
          <cell r="V180">
            <v>37151.740100000003</v>
          </cell>
          <cell r="W180">
            <v>39678.770900000003</v>
          </cell>
        </row>
        <row r="181">
          <cell r="U181">
            <v>35867.209600000002</v>
          </cell>
          <cell r="V181">
            <v>37478.258900000001</v>
          </cell>
          <cell r="W181">
            <v>39974.298799999997</v>
          </cell>
        </row>
        <row r="182">
          <cell r="U182">
            <v>36207.948100000001</v>
          </cell>
          <cell r="V182">
            <v>37807.710599999999</v>
          </cell>
          <cell r="W182">
            <v>40272.634299999998</v>
          </cell>
        </row>
        <row r="183">
          <cell r="U183">
            <v>36551.923600000002</v>
          </cell>
          <cell r="V183">
            <v>38140.122000000003</v>
          </cell>
          <cell r="W183">
            <v>40573.803999999996</v>
          </cell>
        </row>
        <row r="184">
          <cell r="U184">
            <v>36899.166899999997</v>
          </cell>
          <cell r="V184">
            <v>38475.520299999996</v>
          </cell>
          <cell r="W184">
            <v>40877.834799999997</v>
          </cell>
        </row>
        <row r="185">
          <cell r="U185">
            <v>37249.709000000003</v>
          </cell>
          <cell r="V185">
            <v>38813.932999999997</v>
          </cell>
          <cell r="W185">
            <v>41184.753799999999</v>
          </cell>
        </row>
        <row r="186">
          <cell r="U186">
            <v>37603.581200000001</v>
          </cell>
          <cell r="V186">
            <v>39155.387900000002</v>
          </cell>
          <cell r="W186">
            <v>41494.588600000003</v>
          </cell>
        </row>
        <row r="187">
          <cell r="U187">
            <v>37960.815300000002</v>
          </cell>
          <cell r="V187">
            <v>39499.912900000003</v>
          </cell>
          <cell r="W187">
            <v>41807.366900000001</v>
          </cell>
        </row>
        <row r="188">
          <cell r="U188">
            <v>38321.442999999999</v>
          </cell>
          <cell r="V188">
            <v>39847.536200000002</v>
          </cell>
          <cell r="W188">
            <v>42123.116499999996</v>
          </cell>
        </row>
        <row r="189">
          <cell r="U189">
            <v>38685.496700000003</v>
          </cell>
          <cell r="V189">
            <v>40198.2863</v>
          </cell>
          <cell r="W189">
            <v>42441.865700000002</v>
          </cell>
        </row>
        <row r="190">
          <cell r="U190">
            <v>39053.008900000001</v>
          </cell>
          <cell r="V190">
            <v>40552.1921</v>
          </cell>
          <cell r="W190">
            <v>42763.643100000001</v>
          </cell>
        </row>
        <row r="191">
          <cell r="U191">
            <v>39424.012499999997</v>
          </cell>
          <cell r="V191">
            <v>40909.282599999999</v>
          </cell>
          <cell r="W191">
            <v>43088.477299999999</v>
          </cell>
        </row>
        <row r="192">
          <cell r="U192">
            <v>39798.5406</v>
          </cell>
          <cell r="V192">
            <v>41269.587</v>
          </cell>
          <cell r="W192">
            <v>43416.397499999999</v>
          </cell>
        </row>
        <row r="193">
          <cell r="U193">
            <v>40176.626799999998</v>
          </cell>
          <cell r="V193">
            <v>41633.135000000002</v>
          </cell>
          <cell r="W193">
            <v>43747.4329</v>
          </cell>
        </row>
        <row r="194">
          <cell r="U194">
            <v>40558.304700000001</v>
          </cell>
          <cell r="V194">
            <v>41999.956400000003</v>
          </cell>
          <cell r="W194">
            <v>44081.6132</v>
          </cell>
        </row>
        <row r="195">
          <cell r="U195">
            <v>40943.6086</v>
          </cell>
          <cell r="V195">
            <v>42370.0815</v>
          </cell>
          <cell r="W195">
            <v>44418.968200000003</v>
          </cell>
        </row>
        <row r="196">
          <cell r="U196">
            <v>41332.572899999999</v>
          </cell>
          <cell r="V196">
            <v>42743.540500000003</v>
          </cell>
          <cell r="W196">
            <v>44759.527999999998</v>
          </cell>
        </row>
        <row r="197">
          <cell r="U197">
            <v>41725.232400000001</v>
          </cell>
          <cell r="V197">
            <v>43120.364300000001</v>
          </cell>
          <cell r="W197">
            <v>45103.323199999999</v>
          </cell>
        </row>
        <row r="198">
          <cell r="U198">
            <v>42121.622100000001</v>
          </cell>
          <cell r="V198">
            <v>43500.583899999998</v>
          </cell>
          <cell r="W198">
            <v>45450.384400000003</v>
          </cell>
        </row>
        <row r="199">
          <cell r="U199">
            <v>42521.777499999997</v>
          </cell>
          <cell r="V199">
            <v>43884.230499999998</v>
          </cell>
          <cell r="W199">
            <v>45800.742700000003</v>
          </cell>
        </row>
        <row r="200">
          <cell r="U200">
            <v>42925.734400000001</v>
          </cell>
          <cell r="V200">
            <v>44271.335700000003</v>
          </cell>
          <cell r="W200">
            <v>46154.429400000001</v>
          </cell>
        </row>
        <row r="201">
          <cell r="U201">
            <v>43333.5288</v>
          </cell>
          <cell r="V201">
            <v>44661.931499999999</v>
          </cell>
          <cell r="W201">
            <v>46511.4761</v>
          </cell>
        </row>
        <row r="202">
          <cell r="U202">
            <v>43745.197399999997</v>
          </cell>
          <cell r="V202">
            <v>45056.05</v>
          </cell>
          <cell r="W202">
            <v>46871.914700000001</v>
          </cell>
        </row>
        <row r="203">
          <cell r="U203">
            <v>44160.776700000002</v>
          </cell>
          <cell r="V203">
            <v>45453.723599999998</v>
          </cell>
          <cell r="W203">
            <v>47235.777600000001</v>
          </cell>
        </row>
        <row r="204">
          <cell r="U204">
            <v>44580.304100000001</v>
          </cell>
          <cell r="V204">
            <v>45854.9853</v>
          </cell>
          <cell r="W204">
            <v>47603.097099999999</v>
          </cell>
        </row>
        <row r="205">
          <cell r="U205">
            <v>45003.817000000003</v>
          </cell>
          <cell r="V205">
            <v>46259.8681</v>
          </cell>
          <cell r="W205">
            <v>47973.906199999998</v>
          </cell>
        </row>
        <row r="206">
          <cell r="U206">
            <v>45431.353300000002</v>
          </cell>
          <cell r="V206">
            <v>46668.405400000003</v>
          </cell>
          <cell r="W206">
            <v>48348.2379</v>
          </cell>
        </row>
        <row r="207">
          <cell r="U207">
            <v>45862.951099999998</v>
          </cell>
          <cell r="V207">
            <v>47080.631000000001</v>
          </cell>
          <cell r="W207">
            <v>48726.125800000002</v>
          </cell>
        </row>
        <row r="208">
          <cell r="U208">
            <v>46298.649100000002</v>
          </cell>
          <cell r="V208">
            <v>47496.5789</v>
          </cell>
          <cell r="W208">
            <v>49107.603600000002</v>
          </cell>
        </row>
        <row r="209">
          <cell r="U209">
            <v>46738.486299999997</v>
          </cell>
          <cell r="V209">
            <v>47916.2834</v>
          </cell>
          <cell r="W209">
            <v>49492.705499999996</v>
          </cell>
        </row>
        <row r="210">
          <cell r="U210">
            <v>47182.501900000003</v>
          </cell>
          <cell r="V210">
            <v>48339.779300000002</v>
          </cell>
          <cell r="W210">
            <v>49881.465900000003</v>
          </cell>
        </row>
        <row r="211">
          <cell r="U211">
            <v>47630.735699999997</v>
          </cell>
          <cell r="V211">
            <v>48767.101600000002</v>
          </cell>
          <cell r="W211">
            <v>50273.919399999999</v>
          </cell>
        </row>
        <row r="212">
          <cell r="U212">
            <v>48083.227700000003</v>
          </cell>
          <cell r="V212">
            <v>49198.285600000003</v>
          </cell>
          <cell r="W212">
            <v>50670.101300000002</v>
          </cell>
        </row>
        <row r="213">
          <cell r="U213">
            <v>48540.018400000001</v>
          </cell>
          <cell r="V213">
            <v>49633.366900000001</v>
          </cell>
          <cell r="W213">
            <v>51070.046900000001</v>
          </cell>
        </row>
        <row r="214">
          <cell r="U214">
            <v>49001.148500000003</v>
          </cell>
          <cell r="V214">
            <v>50072.381699999998</v>
          </cell>
          <cell r="W214">
            <v>51473.792000000001</v>
          </cell>
        </row>
        <row r="215">
          <cell r="U215">
            <v>49466.659399999997</v>
          </cell>
          <cell r="V215">
            <v>50515.366300000002</v>
          </cell>
          <cell r="W215">
            <v>51881.3727</v>
          </cell>
        </row>
        <row r="216">
          <cell r="U216">
            <v>49936.592700000001</v>
          </cell>
          <cell r="V216">
            <v>50962.357300000003</v>
          </cell>
          <cell r="W216">
            <v>52292.825299999997</v>
          </cell>
        </row>
        <row r="217">
          <cell r="U217">
            <v>50410.990299999998</v>
          </cell>
          <cell r="V217">
            <v>51413.391799999998</v>
          </cell>
          <cell r="W217">
            <v>52708.186800000003</v>
          </cell>
        </row>
        <row r="218">
          <cell r="U218">
            <v>50889.894699999997</v>
          </cell>
          <cell r="V218">
            <v>51868.5072</v>
          </cell>
          <cell r="W218">
            <v>53127.494200000001</v>
          </cell>
        </row>
        <row r="219">
          <cell r="U219">
            <v>51373.348700000002</v>
          </cell>
          <cell r="V219">
            <v>52327.741199999997</v>
          </cell>
          <cell r="W219">
            <v>53550.785100000001</v>
          </cell>
        </row>
        <row r="220">
          <cell r="U220">
            <v>51861.395600000003</v>
          </cell>
          <cell r="V220">
            <v>52791.1319</v>
          </cell>
          <cell r="W220">
            <v>53978.097199999997</v>
          </cell>
        </row>
        <row r="221">
          <cell r="U221">
            <v>52354.078800000003</v>
          </cell>
          <cell r="V221">
            <v>53258.717900000003</v>
          </cell>
          <cell r="W221">
            <v>54409.468699999998</v>
          </cell>
        </row>
        <row r="222">
          <cell r="U222">
            <v>52851.442600000002</v>
          </cell>
          <cell r="V222">
            <v>53730.537799999998</v>
          </cell>
          <cell r="W222">
            <v>54844.938300000002</v>
          </cell>
        </row>
        <row r="223">
          <cell r="U223">
            <v>53353.531300000002</v>
          </cell>
          <cell r="V223">
            <v>54206.630799999999</v>
          </cell>
          <cell r="W223">
            <v>55284.544900000001</v>
          </cell>
        </row>
        <row r="224">
          <cell r="U224">
            <v>53860.389799999997</v>
          </cell>
          <cell r="V224">
            <v>54687.036699999997</v>
          </cell>
          <cell r="W224">
            <v>55728.327700000002</v>
          </cell>
        </row>
        <row r="225">
          <cell r="U225">
            <v>54372.063499999997</v>
          </cell>
          <cell r="V225">
            <v>55171.795100000003</v>
          </cell>
          <cell r="W225">
            <v>56176.326399999998</v>
          </cell>
        </row>
        <row r="226">
          <cell r="U226">
            <v>54888.598100000003</v>
          </cell>
          <cell r="V226">
            <v>55660.946499999998</v>
          </cell>
          <cell r="W226">
            <v>56628.581200000001</v>
          </cell>
        </row>
        <row r="227">
          <cell r="U227">
            <v>55410.039799999999</v>
          </cell>
          <cell r="V227">
            <v>56154.531600000002</v>
          </cell>
          <cell r="W227">
            <v>57085.132299999997</v>
          </cell>
        </row>
        <row r="228">
          <cell r="U228">
            <v>55936.4352</v>
          </cell>
          <cell r="V228">
            <v>56652.5913</v>
          </cell>
          <cell r="W228">
            <v>57546.020700000001</v>
          </cell>
        </row>
        <row r="229">
          <cell r="U229">
            <v>56467.831299999998</v>
          </cell>
          <cell r="V229">
            <v>57155.167099999999</v>
          </cell>
          <cell r="W229">
            <v>58011.287600000003</v>
          </cell>
        </row>
        <row r="230">
          <cell r="U230">
            <v>57004.275699999998</v>
          </cell>
          <cell r="V230">
            <v>57662.300999999999</v>
          </cell>
          <cell r="W230">
            <v>58480.974499999997</v>
          </cell>
        </row>
        <row r="231">
          <cell r="U231">
            <v>57545.816299999999</v>
          </cell>
          <cell r="V231">
            <v>58174.035000000003</v>
          </cell>
          <cell r="W231">
            <v>58955.123399999997</v>
          </cell>
        </row>
        <row r="232">
          <cell r="U232">
            <v>58092.501600000003</v>
          </cell>
          <cell r="V232">
            <v>58690.411899999999</v>
          </cell>
          <cell r="W232">
            <v>59433.776700000002</v>
          </cell>
        </row>
        <row r="233">
          <cell r="U233">
            <v>58644.380400000002</v>
          </cell>
          <cell r="V233">
            <v>59211.474699999999</v>
          </cell>
          <cell r="W233">
            <v>59916.977200000001</v>
          </cell>
        </row>
        <row r="234">
          <cell r="U234">
            <v>59201.502</v>
          </cell>
          <cell r="V234">
            <v>59737.266799999998</v>
          </cell>
          <cell r="W234">
            <v>60404.768100000001</v>
          </cell>
        </row>
        <row r="235">
          <cell r="U235">
            <v>59763.9162</v>
          </cell>
          <cell r="V235">
            <v>60267.832000000002</v>
          </cell>
          <cell r="W235">
            <v>60897.192999999999</v>
          </cell>
        </row>
        <row r="236">
          <cell r="U236">
            <v>60331.6734</v>
          </cell>
          <cell r="V236">
            <v>60803.214699999997</v>
          </cell>
          <cell r="W236">
            <v>61394.296000000002</v>
          </cell>
        </row>
        <row r="237">
          <cell r="U237">
            <v>60904.8243</v>
          </cell>
          <cell r="V237">
            <v>61343.459499999997</v>
          </cell>
          <cell r="W237">
            <v>61896.121500000001</v>
          </cell>
        </row>
        <row r="238">
          <cell r="U238">
            <v>61483.4202</v>
          </cell>
          <cell r="V238">
            <v>61888.611499999999</v>
          </cell>
          <cell r="W238">
            <v>62402.7143</v>
          </cell>
        </row>
        <row r="239">
          <cell r="U239">
            <v>62067.512699999999</v>
          </cell>
          <cell r="V239">
            <v>62438.716200000003</v>
          </cell>
          <cell r="W239">
            <v>62914.119700000003</v>
          </cell>
        </row>
        <row r="240">
          <cell r="U240">
            <v>62657.154000000002</v>
          </cell>
          <cell r="V240">
            <v>62993.819600000003</v>
          </cell>
          <cell r="W240">
            <v>63430.383500000004</v>
          </cell>
        </row>
        <row r="241">
          <cell r="U241">
            <v>63252.396999999997</v>
          </cell>
          <cell r="V241">
            <v>63553.968099999998</v>
          </cell>
          <cell r="W241">
            <v>63951.551800000001</v>
          </cell>
        </row>
        <row r="242">
          <cell r="U242">
            <v>63853.294800000003</v>
          </cell>
          <cell r="V242">
            <v>64119.208400000003</v>
          </cell>
          <cell r="W242">
            <v>64477.6711</v>
          </cell>
        </row>
        <row r="243">
          <cell r="U243">
            <v>64459.901100000003</v>
          </cell>
          <cell r="V243">
            <v>64689.588000000003</v>
          </cell>
          <cell r="W243">
            <v>65008.788699999997</v>
          </cell>
        </row>
        <row r="244">
          <cell r="U244">
            <v>65072.270100000002</v>
          </cell>
          <cell r="V244">
            <v>65265.154399999999</v>
          </cell>
          <cell r="W244">
            <v>65544.951799999995</v>
          </cell>
        </row>
        <row r="245">
          <cell r="U245">
            <v>65690.456699999995</v>
          </cell>
          <cell r="V245">
            <v>65845.955900000001</v>
          </cell>
          <cell r="W245">
            <v>66086.208499999993</v>
          </cell>
        </row>
        <row r="246">
          <cell r="U246">
            <v>66314.516000000003</v>
          </cell>
          <cell r="V246">
            <v>66432.040999999997</v>
          </cell>
          <cell r="W246">
            <v>66632.607099999994</v>
          </cell>
        </row>
        <row r="247">
          <cell r="U247">
            <v>66944.503899999996</v>
          </cell>
          <cell r="V247">
            <v>67023.458899999998</v>
          </cell>
          <cell r="W247">
            <v>67184.196500000005</v>
          </cell>
        </row>
        <row r="248">
          <cell r="U248">
            <v>67580.476699999999</v>
          </cell>
          <cell r="V248">
            <v>67620.2592</v>
          </cell>
          <cell r="W248">
            <v>67741.025999999998</v>
          </cell>
        </row>
        <row r="249">
          <cell r="U249">
            <v>68222.491999999998</v>
          </cell>
          <cell r="V249">
            <v>68222.491999999998</v>
          </cell>
          <cell r="W249">
            <v>68222.491999999998</v>
          </cell>
        </row>
        <row r="250">
          <cell r="U250">
            <v>0</v>
          </cell>
          <cell r="V250">
            <v>0</v>
          </cell>
          <cell r="W250">
            <v>0</v>
          </cell>
        </row>
        <row r="251">
          <cell r="U251">
            <v>0</v>
          </cell>
          <cell r="V251">
            <v>0</v>
          </cell>
          <cell r="W251">
            <v>0</v>
          </cell>
        </row>
        <row r="252">
          <cell r="U252">
            <v>0</v>
          </cell>
          <cell r="V252">
            <v>0</v>
          </cell>
          <cell r="W252">
            <v>0</v>
          </cell>
        </row>
        <row r="253">
          <cell r="U253">
            <v>0</v>
          </cell>
          <cell r="V253">
            <v>0</v>
          </cell>
          <cell r="W253">
            <v>0</v>
          </cell>
        </row>
        <row r="254">
          <cell r="U254">
            <v>0</v>
          </cell>
          <cell r="V254">
            <v>0</v>
          </cell>
          <cell r="W254">
            <v>0</v>
          </cell>
        </row>
        <row r="255">
          <cell r="U255">
            <v>0</v>
          </cell>
          <cell r="V255">
            <v>0</v>
          </cell>
          <cell r="W255">
            <v>0</v>
          </cell>
        </row>
        <row r="256">
          <cell r="U256">
            <v>0</v>
          </cell>
          <cell r="V256">
            <v>0</v>
          </cell>
          <cell r="W256">
            <v>0</v>
          </cell>
        </row>
        <row r="257">
          <cell r="U257">
            <v>0</v>
          </cell>
          <cell r="V257">
            <v>0</v>
          </cell>
          <cell r="W257">
            <v>0</v>
          </cell>
        </row>
        <row r="258">
          <cell r="U258">
            <v>0</v>
          </cell>
          <cell r="V258">
            <v>0</v>
          </cell>
          <cell r="W258">
            <v>0</v>
          </cell>
        </row>
        <row r="259">
          <cell r="U259">
            <v>0</v>
          </cell>
          <cell r="V259">
            <v>0</v>
          </cell>
          <cell r="W259">
            <v>0</v>
          </cell>
        </row>
        <row r="260">
          <cell r="U260">
            <v>0</v>
          </cell>
          <cell r="V260">
            <v>0</v>
          </cell>
          <cell r="W260">
            <v>0</v>
          </cell>
        </row>
        <row r="261">
          <cell r="U261">
            <v>0</v>
          </cell>
          <cell r="V261">
            <v>0</v>
          </cell>
          <cell r="W261">
            <v>0</v>
          </cell>
        </row>
        <row r="262">
          <cell r="U262">
            <v>0</v>
          </cell>
          <cell r="V262">
            <v>0</v>
          </cell>
          <cell r="W262">
            <v>0</v>
          </cell>
        </row>
        <row r="263">
          <cell r="U263">
            <v>0</v>
          </cell>
          <cell r="V263">
            <v>0</v>
          </cell>
          <cell r="W263">
            <v>0</v>
          </cell>
        </row>
        <row r="264">
          <cell r="U264">
            <v>0</v>
          </cell>
          <cell r="V264">
            <v>0</v>
          </cell>
          <cell r="W264">
            <v>0</v>
          </cell>
        </row>
        <row r="265">
          <cell r="U265">
            <v>0</v>
          </cell>
          <cell r="V265">
            <v>0</v>
          </cell>
          <cell r="W265">
            <v>0</v>
          </cell>
        </row>
        <row r="266">
          <cell r="U266">
            <v>0</v>
          </cell>
          <cell r="V266">
            <v>0</v>
          </cell>
          <cell r="W266">
            <v>0</v>
          </cell>
        </row>
        <row r="267">
          <cell r="U267">
            <v>0</v>
          </cell>
          <cell r="V267">
            <v>0</v>
          </cell>
          <cell r="W267">
            <v>0</v>
          </cell>
        </row>
        <row r="268">
          <cell r="U268">
            <v>0</v>
          </cell>
          <cell r="V268">
            <v>0</v>
          </cell>
          <cell r="W268">
            <v>0</v>
          </cell>
        </row>
        <row r="269">
          <cell r="U269">
            <v>0</v>
          </cell>
          <cell r="V269">
            <v>0</v>
          </cell>
          <cell r="W269">
            <v>0</v>
          </cell>
        </row>
        <row r="270">
          <cell r="U270">
            <v>0</v>
          </cell>
          <cell r="V270">
            <v>0</v>
          </cell>
          <cell r="W270">
            <v>0</v>
          </cell>
        </row>
        <row r="271">
          <cell r="U271">
            <v>0</v>
          </cell>
          <cell r="V271">
            <v>0</v>
          </cell>
          <cell r="W271">
            <v>0</v>
          </cell>
        </row>
        <row r="272">
          <cell r="U272">
            <v>0</v>
          </cell>
          <cell r="V272">
            <v>0</v>
          </cell>
          <cell r="W272">
            <v>0</v>
          </cell>
        </row>
        <row r="273">
          <cell r="U273">
            <v>0</v>
          </cell>
          <cell r="V273">
            <v>0</v>
          </cell>
          <cell r="W273">
            <v>0</v>
          </cell>
        </row>
        <row r="274">
          <cell r="U274">
            <v>0</v>
          </cell>
          <cell r="V274">
            <v>0</v>
          </cell>
          <cell r="W274">
            <v>0</v>
          </cell>
        </row>
        <row r="275">
          <cell r="U275">
            <v>0</v>
          </cell>
          <cell r="V275">
            <v>0</v>
          </cell>
          <cell r="W275">
            <v>0</v>
          </cell>
        </row>
        <row r="276">
          <cell r="U276">
            <v>0</v>
          </cell>
          <cell r="V276">
            <v>0</v>
          </cell>
          <cell r="W276">
            <v>0</v>
          </cell>
        </row>
        <row r="277">
          <cell r="U277">
            <v>0</v>
          </cell>
          <cell r="V277">
            <v>0</v>
          </cell>
          <cell r="W277">
            <v>0</v>
          </cell>
        </row>
        <row r="278">
          <cell r="U278">
            <v>0</v>
          </cell>
          <cell r="V278">
            <v>0</v>
          </cell>
          <cell r="W278">
            <v>0</v>
          </cell>
        </row>
        <row r="279">
          <cell r="U279">
            <v>0</v>
          </cell>
          <cell r="V279">
            <v>0</v>
          </cell>
          <cell r="W279">
            <v>0</v>
          </cell>
        </row>
        <row r="280">
          <cell r="U280">
            <v>0</v>
          </cell>
          <cell r="V280">
            <v>0</v>
          </cell>
          <cell r="W280">
            <v>0</v>
          </cell>
        </row>
        <row r="281">
          <cell r="U281">
            <v>0</v>
          </cell>
          <cell r="V281">
            <v>0</v>
          </cell>
          <cell r="W281">
            <v>0</v>
          </cell>
        </row>
        <row r="282">
          <cell r="U282">
            <v>0</v>
          </cell>
          <cell r="V282">
            <v>0</v>
          </cell>
          <cell r="W282">
            <v>0</v>
          </cell>
        </row>
        <row r="283">
          <cell r="U283">
            <v>0</v>
          </cell>
          <cell r="V283">
            <v>0</v>
          </cell>
          <cell r="W283">
            <v>0</v>
          </cell>
        </row>
        <row r="284">
          <cell r="U284">
            <v>0</v>
          </cell>
          <cell r="V284">
            <v>0</v>
          </cell>
          <cell r="W284">
            <v>0</v>
          </cell>
        </row>
        <row r="285">
          <cell r="U285">
            <v>0</v>
          </cell>
          <cell r="V285">
            <v>0</v>
          </cell>
          <cell r="W285">
            <v>0</v>
          </cell>
        </row>
        <row r="286">
          <cell r="U286">
            <v>0</v>
          </cell>
          <cell r="V286">
            <v>0</v>
          </cell>
          <cell r="W286">
            <v>0</v>
          </cell>
        </row>
        <row r="287">
          <cell r="U287">
            <v>0</v>
          </cell>
          <cell r="V287">
            <v>0</v>
          </cell>
          <cell r="W287">
            <v>0</v>
          </cell>
        </row>
        <row r="288">
          <cell r="U288">
            <v>0</v>
          </cell>
          <cell r="V288">
            <v>0</v>
          </cell>
          <cell r="W288">
            <v>0</v>
          </cell>
        </row>
        <row r="289">
          <cell r="U289">
            <v>0</v>
          </cell>
          <cell r="V289">
            <v>0</v>
          </cell>
          <cell r="W289">
            <v>0</v>
          </cell>
        </row>
        <row r="290">
          <cell r="U290">
            <v>0</v>
          </cell>
          <cell r="V290">
            <v>0</v>
          </cell>
          <cell r="W290">
            <v>0</v>
          </cell>
        </row>
        <row r="291">
          <cell r="U291">
            <v>0</v>
          </cell>
          <cell r="V291">
            <v>0</v>
          </cell>
          <cell r="W291">
            <v>0</v>
          </cell>
        </row>
        <row r="292">
          <cell r="U292">
            <v>0</v>
          </cell>
          <cell r="V292">
            <v>0</v>
          </cell>
          <cell r="W292">
            <v>0</v>
          </cell>
        </row>
        <row r="293">
          <cell r="U293">
            <v>0</v>
          </cell>
          <cell r="V293">
            <v>0</v>
          </cell>
          <cell r="W293">
            <v>0</v>
          </cell>
        </row>
        <row r="294">
          <cell r="U294">
            <v>0</v>
          </cell>
          <cell r="V294">
            <v>0</v>
          </cell>
          <cell r="W294">
            <v>0</v>
          </cell>
        </row>
        <row r="295">
          <cell r="U295">
            <v>0</v>
          </cell>
          <cell r="V295">
            <v>0</v>
          </cell>
          <cell r="W295">
            <v>0</v>
          </cell>
        </row>
        <row r="296">
          <cell r="U296">
            <v>0</v>
          </cell>
          <cell r="V296">
            <v>0</v>
          </cell>
          <cell r="W296">
            <v>0</v>
          </cell>
        </row>
        <row r="297">
          <cell r="U297">
            <v>0</v>
          </cell>
          <cell r="V297">
            <v>0</v>
          </cell>
          <cell r="W297">
            <v>0</v>
          </cell>
        </row>
        <row r="298">
          <cell r="U298">
            <v>0</v>
          </cell>
          <cell r="V298">
            <v>0</v>
          </cell>
          <cell r="W298">
            <v>0</v>
          </cell>
        </row>
        <row r="299">
          <cell r="U299">
            <v>0</v>
          </cell>
          <cell r="V299">
            <v>0</v>
          </cell>
          <cell r="W299">
            <v>0</v>
          </cell>
        </row>
        <row r="300">
          <cell r="U300">
            <v>0</v>
          </cell>
          <cell r="V300">
            <v>0</v>
          </cell>
          <cell r="W300">
            <v>0</v>
          </cell>
        </row>
        <row r="301">
          <cell r="U301">
            <v>0</v>
          </cell>
          <cell r="V301">
            <v>0</v>
          </cell>
          <cell r="W301">
            <v>0</v>
          </cell>
        </row>
        <row r="302">
          <cell r="U302">
            <v>0</v>
          </cell>
          <cell r="V302">
            <v>0</v>
          </cell>
          <cell r="W302">
            <v>0</v>
          </cell>
        </row>
        <row r="303">
          <cell r="U303">
            <v>0</v>
          </cell>
          <cell r="V303">
            <v>0</v>
          </cell>
          <cell r="W303">
            <v>0</v>
          </cell>
        </row>
        <row r="304">
          <cell r="U304">
            <v>0</v>
          </cell>
          <cell r="V304">
            <v>0</v>
          </cell>
          <cell r="W304">
            <v>0</v>
          </cell>
        </row>
        <row r="305">
          <cell r="U305">
            <v>0</v>
          </cell>
          <cell r="V305">
            <v>0</v>
          </cell>
          <cell r="W305">
            <v>0</v>
          </cell>
        </row>
        <row r="306">
          <cell r="U306">
            <v>0</v>
          </cell>
          <cell r="V306">
            <v>0</v>
          </cell>
          <cell r="W306">
            <v>0</v>
          </cell>
        </row>
        <row r="307">
          <cell r="U307">
            <v>0</v>
          </cell>
          <cell r="V307">
            <v>0</v>
          </cell>
          <cell r="W307">
            <v>0</v>
          </cell>
        </row>
        <row r="308">
          <cell r="U308">
            <v>0</v>
          </cell>
          <cell r="V308">
            <v>0</v>
          </cell>
          <cell r="W308">
            <v>0</v>
          </cell>
        </row>
        <row r="309">
          <cell r="U309">
            <v>0</v>
          </cell>
          <cell r="V309">
            <v>0</v>
          </cell>
          <cell r="W309">
            <v>0</v>
          </cell>
        </row>
        <row r="310">
          <cell r="U310">
            <v>0</v>
          </cell>
          <cell r="V310">
            <v>0</v>
          </cell>
          <cell r="W310">
            <v>0</v>
          </cell>
        </row>
        <row r="311">
          <cell r="U311">
            <v>0</v>
          </cell>
          <cell r="V311">
            <v>0</v>
          </cell>
          <cell r="W311">
            <v>0</v>
          </cell>
        </row>
        <row r="312">
          <cell r="U312">
            <v>0</v>
          </cell>
          <cell r="V312">
            <v>0</v>
          </cell>
          <cell r="W312">
            <v>0</v>
          </cell>
        </row>
        <row r="313">
          <cell r="U313">
            <v>0</v>
          </cell>
          <cell r="V313">
            <v>0</v>
          </cell>
          <cell r="W313">
            <v>0</v>
          </cell>
        </row>
        <row r="314">
          <cell r="U314">
            <v>0</v>
          </cell>
          <cell r="V314">
            <v>0</v>
          </cell>
          <cell r="W314">
            <v>0</v>
          </cell>
        </row>
        <row r="315">
          <cell r="U315">
            <v>0</v>
          </cell>
          <cell r="V315">
            <v>0</v>
          </cell>
          <cell r="W315">
            <v>0</v>
          </cell>
        </row>
        <row r="316">
          <cell r="U316">
            <v>0</v>
          </cell>
          <cell r="V316">
            <v>0</v>
          </cell>
          <cell r="W316">
            <v>0</v>
          </cell>
        </row>
        <row r="317">
          <cell r="U317">
            <v>0</v>
          </cell>
          <cell r="V317">
            <v>0</v>
          </cell>
          <cell r="W317">
            <v>0</v>
          </cell>
        </row>
        <row r="318">
          <cell r="U318">
            <v>0</v>
          </cell>
          <cell r="V318">
            <v>0</v>
          </cell>
          <cell r="W318">
            <v>0</v>
          </cell>
        </row>
        <row r="319">
          <cell r="U319">
            <v>0</v>
          </cell>
          <cell r="V319">
            <v>0</v>
          </cell>
          <cell r="W319">
            <v>0</v>
          </cell>
        </row>
        <row r="320">
          <cell r="U320">
            <v>0</v>
          </cell>
          <cell r="V320">
            <v>0</v>
          </cell>
          <cell r="W320">
            <v>0</v>
          </cell>
        </row>
        <row r="321">
          <cell r="U321">
            <v>0</v>
          </cell>
          <cell r="V321">
            <v>0</v>
          </cell>
          <cell r="W321">
            <v>0</v>
          </cell>
        </row>
        <row r="322">
          <cell r="U322">
            <v>0</v>
          </cell>
          <cell r="V322">
            <v>0</v>
          </cell>
          <cell r="W322">
            <v>0</v>
          </cell>
        </row>
        <row r="323">
          <cell r="U323">
            <v>0</v>
          </cell>
          <cell r="V323">
            <v>0</v>
          </cell>
          <cell r="W323">
            <v>0</v>
          </cell>
        </row>
        <row r="324">
          <cell r="U324">
            <v>0</v>
          </cell>
          <cell r="V324">
            <v>0</v>
          </cell>
          <cell r="W324">
            <v>0</v>
          </cell>
        </row>
        <row r="325">
          <cell r="U325">
            <v>0</v>
          </cell>
          <cell r="V325">
            <v>0</v>
          </cell>
          <cell r="W325">
            <v>0</v>
          </cell>
        </row>
        <row r="326">
          <cell r="U326">
            <v>0</v>
          </cell>
          <cell r="V326">
            <v>0</v>
          </cell>
          <cell r="W326">
            <v>0</v>
          </cell>
        </row>
        <row r="327">
          <cell r="U327">
            <v>0</v>
          </cell>
          <cell r="V327">
            <v>0</v>
          </cell>
          <cell r="W327">
            <v>0</v>
          </cell>
        </row>
        <row r="328">
          <cell r="U328">
            <v>0</v>
          </cell>
          <cell r="V328">
            <v>0</v>
          </cell>
          <cell r="W328">
            <v>0</v>
          </cell>
        </row>
        <row r="329">
          <cell r="U329">
            <v>0</v>
          </cell>
          <cell r="V329">
            <v>0</v>
          </cell>
          <cell r="W329">
            <v>0</v>
          </cell>
        </row>
        <row r="330">
          <cell r="U330">
            <v>0</v>
          </cell>
          <cell r="V330">
            <v>0</v>
          </cell>
          <cell r="W330">
            <v>0</v>
          </cell>
        </row>
        <row r="331">
          <cell r="U331">
            <v>0</v>
          </cell>
          <cell r="V331">
            <v>0</v>
          </cell>
          <cell r="W331">
            <v>0</v>
          </cell>
        </row>
        <row r="332">
          <cell r="U332">
            <v>0</v>
          </cell>
          <cell r="V332">
            <v>0</v>
          </cell>
          <cell r="W332">
            <v>0</v>
          </cell>
        </row>
        <row r="333">
          <cell r="U333">
            <v>0</v>
          </cell>
          <cell r="V333">
            <v>0</v>
          </cell>
          <cell r="W333">
            <v>0</v>
          </cell>
        </row>
        <row r="334">
          <cell r="U334">
            <v>0</v>
          </cell>
          <cell r="V334">
            <v>0</v>
          </cell>
          <cell r="W334">
            <v>0</v>
          </cell>
        </row>
        <row r="335">
          <cell r="U335">
            <v>0</v>
          </cell>
          <cell r="V335">
            <v>0</v>
          </cell>
          <cell r="W335">
            <v>0</v>
          </cell>
        </row>
        <row r="336">
          <cell r="U336">
            <v>0</v>
          </cell>
          <cell r="V336">
            <v>0</v>
          </cell>
          <cell r="W336">
            <v>0</v>
          </cell>
        </row>
        <row r="337">
          <cell r="U337">
            <v>0</v>
          </cell>
          <cell r="V337">
            <v>0</v>
          </cell>
          <cell r="W337">
            <v>0</v>
          </cell>
        </row>
        <row r="338">
          <cell r="U338">
            <v>0</v>
          </cell>
          <cell r="V338">
            <v>0</v>
          </cell>
          <cell r="W338">
            <v>0</v>
          </cell>
        </row>
        <row r="339">
          <cell r="U339">
            <v>0</v>
          </cell>
          <cell r="V339">
            <v>0</v>
          </cell>
          <cell r="W339">
            <v>0</v>
          </cell>
        </row>
        <row r="340">
          <cell r="U340">
            <v>0</v>
          </cell>
          <cell r="V340">
            <v>0</v>
          </cell>
          <cell r="W340">
            <v>0</v>
          </cell>
        </row>
        <row r="341">
          <cell r="U341">
            <v>0</v>
          </cell>
          <cell r="V341">
            <v>0</v>
          </cell>
          <cell r="W341">
            <v>0</v>
          </cell>
        </row>
        <row r="342">
          <cell r="U342">
            <v>0</v>
          </cell>
          <cell r="V342">
            <v>0</v>
          </cell>
          <cell r="W342">
            <v>0</v>
          </cell>
        </row>
        <row r="343">
          <cell r="U343">
            <v>0</v>
          </cell>
          <cell r="V343">
            <v>0</v>
          </cell>
          <cell r="W343">
            <v>0</v>
          </cell>
        </row>
        <row r="344">
          <cell r="U344">
            <v>0</v>
          </cell>
          <cell r="V344">
            <v>0</v>
          </cell>
          <cell r="W344">
            <v>0</v>
          </cell>
        </row>
        <row r="345">
          <cell r="U345">
            <v>0</v>
          </cell>
          <cell r="V345">
            <v>0</v>
          </cell>
          <cell r="W345">
            <v>0</v>
          </cell>
        </row>
        <row r="346">
          <cell r="U346">
            <v>0</v>
          </cell>
          <cell r="V346">
            <v>0</v>
          </cell>
          <cell r="W346">
            <v>0</v>
          </cell>
        </row>
        <row r="347">
          <cell r="U347">
            <v>0</v>
          </cell>
          <cell r="V347">
            <v>0</v>
          </cell>
          <cell r="W347">
            <v>0</v>
          </cell>
        </row>
        <row r="348">
          <cell r="U348">
            <v>0</v>
          </cell>
          <cell r="V348">
            <v>0</v>
          </cell>
          <cell r="W348">
            <v>0</v>
          </cell>
        </row>
        <row r="349">
          <cell r="U349">
            <v>0</v>
          </cell>
          <cell r="V349">
            <v>0</v>
          </cell>
          <cell r="W349">
            <v>0</v>
          </cell>
        </row>
        <row r="350">
          <cell r="U350">
            <v>0</v>
          </cell>
          <cell r="V350">
            <v>0</v>
          </cell>
          <cell r="W350">
            <v>0</v>
          </cell>
        </row>
        <row r="351">
          <cell r="U351">
            <v>0</v>
          </cell>
          <cell r="V351">
            <v>0</v>
          </cell>
          <cell r="W351">
            <v>0</v>
          </cell>
        </row>
        <row r="352">
          <cell r="U352">
            <v>0</v>
          </cell>
          <cell r="V352">
            <v>0</v>
          </cell>
          <cell r="W352">
            <v>0</v>
          </cell>
        </row>
        <row r="353">
          <cell r="U353">
            <v>0</v>
          </cell>
          <cell r="V353">
            <v>0</v>
          </cell>
          <cell r="W353">
            <v>0</v>
          </cell>
        </row>
        <row r="354">
          <cell r="U354">
            <v>0</v>
          </cell>
          <cell r="V354">
            <v>0</v>
          </cell>
          <cell r="W354">
            <v>0</v>
          </cell>
        </row>
        <row r="355">
          <cell r="U355">
            <v>0</v>
          </cell>
          <cell r="V355">
            <v>0</v>
          </cell>
          <cell r="W355">
            <v>0</v>
          </cell>
        </row>
        <row r="356">
          <cell r="U356">
            <v>0</v>
          </cell>
          <cell r="V356">
            <v>0</v>
          </cell>
          <cell r="W356">
            <v>0</v>
          </cell>
        </row>
        <row r="357">
          <cell r="U357">
            <v>0</v>
          </cell>
          <cell r="V357">
            <v>0</v>
          </cell>
          <cell r="W357">
            <v>0</v>
          </cell>
        </row>
        <row r="358">
          <cell r="U358">
            <v>0</v>
          </cell>
          <cell r="V358">
            <v>0</v>
          </cell>
          <cell r="W358">
            <v>0</v>
          </cell>
        </row>
        <row r="359">
          <cell r="U359">
            <v>0</v>
          </cell>
          <cell r="V359">
            <v>0</v>
          </cell>
          <cell r="W359">
            <v>0</v>
          </cell>
        </row>
        <row r="360">
          <cell r="U360">
            <v>0</v>
          </cell>
          <cell r="V360">
            <v>0</v>
          </cell>
          <cell r="W360">
            <v>0</v>
          </cell>
        </row>
        <row r="361">
          <cell r="U361">
            <v>0</v>
          </cell>
          <cell r="V361">
            <v>0</v>
          </cell>
          <cell r="W361">
            <v>0</v>
          </cell>
        </row>
        <row r="362">
          <cell r="U362">
            <v>0</v>
          </cell>
          <cell r="V362">
            <v>0</v>
          </cell>
          <cell r="W362">
            <v>0</v>
          </cell>
        </row>
        <row r="363">
          <cell r="U363">
            <v>0</v>
          </cell>
          <cell r="V363">
            <v>0</v>
          </cell>
          <cell r="W363">
            <v>0</v>
          </cell>
        </row>
        <row r="364">
          <cell r="U364">
            <v>0</v>
          </cell>
          <cell r="V364">
            <v>0</v>
          </cell>
          <cell r="W364">
            <v>0</v>
          </cell>
        </row>
        <row r="365">
          <cell r="U365">
            <v>0</v>
          </cell>
          <cell r="V365">
            <v>0</v>
          </cell>
          <cell r="W365">
            <v>0</v>
          </cell>
        </row>
        <row r="366">
          <cell r="U366">
            <v>0</v>
          </cell>
          <cell r="V366">
            <v>0</v>
          </cell>
          <cell r="W366">
            <v>0</v>
          </cell>
        </row>
        <row r="367">
          <cell r="U367">
            <v>0</v>
          </cell>
          <cell r="V367">
            <v>0</v>
          </cell>
          <cell r="W367">
            <v>0</v>
          </cell>
        </row>
        <row r="368">
          <cell r="U368">
            <v>0</v>
          </cell>
          <cell r="V368">
            <v>0</v>
          </cell>
          <cell r="W368">
            <v>0</v>
          </cell>
        </row>
        <row r="369">
          <cell r="U369">
            <v>0</v>
          </cell>
          <cell r="V369">
            <v>0</v>
          </cell>
          <cell r="W369">
            <v>0</v>
          </cell>
        </row>
      </sheetData>
      <sheetData sheetId="36" refreshError="1">
        <row r="1">
          <cell r="B1">
            <v>2</v>
          </cell>
        </row>
        <row r="2">
          <cell r="A2">
            <v>1</v>
          </cell>
        </row>
        <row r="3">
          <cell r="A3">
            <v>2</v>
          </cell>
        </row>
      </sheetData>
      <sheetData sheetId="37" refreshError="1">
        <row r="1">
          <cell r="B1" t="str">
            <v>N.A.</v>
          </cell>
        </row>
      </sheetData>
      <sheetData sheetId="38" refreshError="1">
        <row r="4">
          <cell r="A4">
            <v>1</v>
          </cell>
          <cell r="B4" t="str">
            <v>Adquisición de Casa Habitación</v>
          </cell>
          <cell r="C4" t="str">
            <v>01</v>
          </cell>
          <cell r="D4" t="b">
            <v>1</v>
          </cell>
          <cell r="E4" t="b">
            <v>0</v>
          </cell>
          <cell r="F4" t="b">
            <v>1</v>
          </cell>
          <cell r="G4">
            <v>0</v>
          </cell>
          <cell r="H4" t="str">
            <v/>
          </cell>
          <cell r="I4" t="b">
            <v>0</v>
          </cell>
          <cell r="J4" t="b">
            <v>1</v>
          </cell>
          <cell r="K4">
            <v>1</v>
          </cell>
          <cell r="L4" t="b">
            <v>0</v>
          </cell>
          <cell r="M4" t="b">
            <v>1</v>
          </cell>
          <cell r="N4" t="b">
            <v>0</v>
          </cell>
          <cell r="O4" t="b">
            <v>0</v>
          </cell>
          <cell r="P4" t="b">
            <v>0</v>
          </cell>
        </row>
        <row r="5">
          <cell r="A5" t="str">
            <v>Id</v>
          </cell>
          <cell r="B5" t="str">
            <v>Descripción</v>
          </cell>
          <cell r="C5" t="str">
            <v>Código Destino</v>
          </cell>
          <cell r="D5" t="str">
            <v>Programas Especiales</v>
          </cell>
          <cell r="E5" t="str">
            <v>Ignora Rangos de Vivienda</v>
          </cell>
          <cell r="F5" t="str">
            <v>Aplican Productos?</v>
          </cell>
          <cell r="G5" t="str">
            <v>Tasa Interés</v>
          </cell>
          <cell r="H5" t="str">
            <v>Índice Ajustado</v>
          </cell>
          <cell r="I5" t="str">
            <v>Soporta Ministraciones?</v>
          </cell>
          <cell r="J5" t="str">
            <v>Devolución Efectivo</v>
          </cell>
          <cell r="K5" t="str">
            <v>Id Cobro Gastos Notariales</v>
          </cell>
          <cell r="L5" t="str">
            <v>Importa Destino Anterior?</v>
          </cell>
          <cell r="M5" t="str">
            <v>Aplica Daños?</v>
          </cell>
          <cell r="N5" t="str">
            <v>Financía Gastos Iniciales?</v>
          </cell>
          <cell r="O5" t="str">
            <v>Gravamen se cancela por separado?</v>
          </cell>
          <cell r="P5" t="str">
            <v>Requiere Vigilancia</v>
          </cell>
          <cell r="Q5" t="str">
            <v>Comparativo en Cotización?</v>
          </cell>
        </row>
        <row r="6">
          <cell r="A6">
            <v>0</v>
          </cell>
          <cell r="B6" t="str">
            <v>Sin Selección</v>
          </cell>
          <cell r="C6" t="str">
            <v>00</v>
          </cell>
          <cell r="D6" t="b">
            <v>0</v>
          </cell>
          <cell r="E6" t="b">
            <v>0</v>
          </cell>
          <cell r="F6" t="b">
            <v>0</v>
          </cell>
          <cell r="G6">
            <v>0</v>
          </cell>
          <cell r="H6" t="str">
            <v/>
          </cell>
          <cell r="I6" t="b">
            <v>0</v>
          </cell>
          <cell r="J6" t="b">
            <v>0</v>
          </cell>
          <cell r="K6">
            <v>0</v>
          </cell>
          <cell r="L6" t="b">
            <v>0</v>
          </cell>
          <cell r="M6" t="b">
            <v>1</v>
          </cell>
          <cell r="N6" t="b">
            <v>0</v>
          </cell>
          <cell r="O6" t="b">
            <v>0</v>
          </cell>
          <cell r="P6" t="b">
            <v>0</v>
          </cell>
          <cell r="Q6" t="b">
            <v>0</v>
          </cell>
        </row>
        <row r="7">
          <cell r="A7">
            <v>1</v>
          </cell>
          <cell r="B7" t="str">
            <v>Adquisición de Casa Habitación</v>
          </cell>
          <cell r="C7" t="str">
            <v>01</v>
          </cell>
          <cell r="D7" t="b">
            <v>1</v>
          </cell>
          <cell r="E7" t="b">
            <v>0</v>
          </cell>
          <cell r="F7" t="b">
            <v>1</v>
          </cell>
          <cell r="G7">
            <v>0</v>
          </cell>
          <cell r="H7" t="str">
            <v/>
          </cell>
          <cell r="I7" t="b">
            <v>0</v>
          </cell>
          <cell r="J7" t="b">
            <v>1</v>
          </cell>
          <cell r="K7">
            <v>1</v>
          </cell>
          <cell r="L7" t="b">
            <v>0</v>
          </cell>
          <cell r="M7" t="b">
            <v>1</v>
          </cell>
          <cell r="N7" t="b">
            <v>0</v>
          </cell>
          <cell r="O7" t="b">
            <v>0</v>
          </cell>
          <cell r="P7" t="b">
            <v>0</v>
          </cell>
          <cell r="Q7" t="b">
            <v>0</v>
          </cell>
        </row>
        <row r="8">
          <cell r="A8">
            <v>2</v>
          </cell>
          <cell r="B8" t="str">
            <v>Mejora de Hipoteca</v>
          </cell>
          <cell r="C8" t="str">
            <v>02</v>
          </cell>
          <cell r="D8" t="b">
            <v>1</v>
          </cell>
          <cell r="E8" t="b">
            <v>0</v>
          </cell>
          <cell r="F8" t="b">
            <v>1</v>
          </cell>
          <cell r="G8">
            <v>0</v>
          </cell>
          <cell r="H8" t="str">
            <v/>
          </cell>
          <cell r="I8" t="b">
            <v>0</v>
          </cell>
          <cell r="J8" t="b">
            <v>0</v>
          </cell>
          <cell r="K8">
            <v>3</v>
          </cell>
          <cell r="L8" t="b">
            <v>1</v>
          </cell>
          <cell r="M8" t="b">
            <v>1</v>
          </cell>
          <cell r="N8" t="b">
            <v>1</v>
          </cell>
          <cell r="O8" t="b">
            <v>1</v>
          </cell>
          <cell r="P8" t="b">
            <v>0</v>
          </cell>
          <cell r="Q8" t="b">
            <v>0</v>
          </cell>
        </row>
        <row r="9">
          <cell r="A9">
            <v>10</v>
          </cell>
          <cell r="B9" t="str">
            <v>Mejora de Hipoteca con Remodelación</v>
          </cell>
          <cell r="C9">
            <v>10</v>
          </cell>
          <cell r="D9" t="b">
            <v>0</v>
          </cell>
          <cell r="E9" t="b">
            <v>0</v>
          </cell>
          <cell r="F9" t="b">
            <v>1</v>
          </cell>
          <cell r="G9">
            <v>0</v>
          </cell>
          <cell r="H9">
            <v>0</v>
          </cell>
          <cell r="I9" t="b">
            <v>0</v>
          </cell>
          <cell r="J9" t="b">
            <v>0</v>
          </cell>
          <cell r="K9">
            <v>3</v>
          </cell>
          <cell r="L9" t="b">
            <v>0</v>
          </cell>
          <cell r="M9" t="b">
            <v>1</v>
          </cell>
          <cell r="N9" t="b">
            <v>1</v>
          </cell>
          <cell r="O9" t="b">
            <v>1</v>
          </cell>
          <cell r="P9" t="b">
            <v>0</v>
          </cell>
          <cell r="Q9" t="b">
            <v>0</v>
          </cell>
        </row>
        <row r="10">
          <cell r="A10">
            <v>3</v>
          </cell>
          <cell r="B10" t="str">
            <v>Construcción de Vivienda</v>
          </cell>
          <cell r="C10" t="str">
            <v>03</v>
          </cell>
          <cell r="D10" t="b">
            <v>1</v>
          </cell>
          <cell r="E10" t="b">
            <v>0</v>
          </cell>
          <cell r="F10" t="b">
            <v>1</v>
          </cell>
          <cell r="G10">
            <v>0</v>
          </cell>
          <cell r="H10" t="str">
            <v/>
          </cell>
          <cell r="I10" t="b">
            <v>1</v>
          </cell>
          <cell r="J10" t="b">
            <v>0</v>
          </cell>
          <cell r="K10">
            <v>2</v>
          </cell>
          <cell r="L10" t="b">
            <v>0</v>
          </cell>
          <cell r="M10" t="b">
            <v>1</v>
          </cell>
          <cell r="N10" t="b">
            <v>0</v>
          </cell>
          <cell r="O10" t="b">
            <v>0</v>
          </cell>
          <cell r="P10" t="b">
            <v>0</v>
          </cell>
          <cell r="Q10" t="b">
            <v>0</v>
          </cell>
        </row>
        <row r="11">
          <cell r="A11">
            <v>4</v>
          </cell>
          <cell r="B11" t="str">
            <v>Remodelación</v>
          </cell>
          <cell r="C11" t="str">
            <v>04</v>
          </cell>
          <cell r="D11" t="b">
            <v>0</v>
          </cell>
          <cell r="E11" t="b">
            <v>0</v>
          </cell>
          <cell r="F11" t="b">
            <v>1</v>
          </cell>
          <cell r="G11">
            <v>0</v>
          </cell>
          <cell r="H11" t="str">
            <v/>
          </cell>
          <cell r="I11" t="b">
            <v>0</v>
          </cell>
          <cell r="J11" t="b">
            <v>0</v>
          </cell>
          <cell r="K11">
            <v>2</v>
          </cell>
          <cell r="L11" t="b">
            <v>0</v>
          </cell>
          <cell r="M11" t="b">
            <v>1</v>
          </cell>
          <cell r="N11" t="b">
            <v>0</v>
          </cell>
          <cell r="O11" t="b">
            <v>0</v>
          </cell>
          <cell r="P11" t="b">
            <v>0</v>
          </cell>
          <cell r="Q11" t="b">
            <v>0</v>
          </cell>
        </row>
        <row r="12">
          <cell r="A12">
            <v>5</v>
          </cell>
          <cell r="B12" t="str">
            <v>Liquidez</v>
          </cell>
          <cell r="C12" t="str">
            <v>05</v>
          </cell>
          <cell r="D12" t="b">
            <v>0</v>
          </cell>
          <cell r="E12" t="b">
            <v>1</v>
          </cell>
          <cell r="F12" t="b">
            <v>0</v>
          </cell>
          <cell r="G12">
            <v>0.157</v>
          </cell>
          <cell r="H12" t="str">
            <v/>
          </cell>
          <cell r="I12" t="b">
            <v>0</v>
          </cell>
          <cell r="J12" t="b">
            <v>0</v>
          </cell>
          <cell r="K12">
            <v>2</v>
          </cell>
          <cell r="L12" t="b">
            <v>0</v>
          </cell>
          <cell r="M12" t="b">
            <v>1</v>
          </cell>
          <cell r="N12" t="b">
            <v>0</v>
          </cell>
          <cell r="O12" t="b">
            <v>0</v>
          </cell>
          <cell r="P12" t="b">
            <v>0</v>
          </cell>
          <cell r="Q12" t="b">
            <v>0</v>
          </cell>
        </row>
        <row r="13">
          <cell r="A13">
            <v>6</v>
          </cell>
          <cell r="B13" t="str">
            <v>Adquisición de Terreno Urbanizado</v>
          </cell>
          <cell r="C13" t="str">
            <v>06</v>
          </cell>
          <cell r="D13" t="b">
            <v>0</v>
          </cell>
          <cell r="E13" t="b">
            <v>1</v>
          </cell>
          <cell r="F13" t="b">
            <v>0</v>
          </cell>
          <cell r="G13">
            <v>0.155</v>
          </cell>
          <cell r="H13" t="str">
            <v/>
          </cell>
          <cell r="I13" t="b">
            <v>0</v>
          </cell>
          <cell r="J13" t="b">
            <v>0</v>
          </cell>
          <cell r="K13">
            <v>1</v>
          </cell>
          <cell r="L13" t="b">
            <v>0</v>
          </cell>
          <cell r="M13" t="b">
            <v>0</v>
          </cell>
          <cell r="N13" t="b">
            <v>0</v>
          </cell>
          <cell r="O13" t="b">
            <v>0</v>
          </cell>
          <cell r="P13" t="b">
            <v>0</v>
          </cell>
          <cell r="Q13" t="b">
            <v>0</v>
          </cell>
        </row>
        <row r="14">
          <cell r="A14">
            <v>7</v>
          </cell>
          <cell r="B14" t="str">
            <v>Subrogación</v>
          </cell>
          <cell r="C14" t="str">
            <v>07</v>
          </cell>
          <cell r="D14" t="b">
            <v>0</v>
          </cell>
          <cell r="E14" t="b">
            <v>1</v>
          </cell>
          <cell r="F14" t="b">
            <v>0</v>
          </cell>
          <cell r="G14">
            <v>9.9900000000000003E-2</v>
          </cell>
          <cell r="H14" t="str">
            <v/>
          </cell>
          <cell r="I14" t="b">
            <v>0</v>
          </cell>
          <cell r="J14" t="b">
            <v>0</v>
          </cell>
          <cell r="K14">
            <v>0</v>
          </cell>
          <cell r="L14" t="b">
            <v>0</v>
          </cell>
          <cell r="M14" t="b">
            <v>1</v>
          </cell>
          <cell r="N14" t="b">
            <v>1</v>
          </cell>
          <cell r="O14" t="b">
            <v>0</v>
          </cell>
          <cell r="P14" t="b">
            <v>0</v>
          </cell>
          <cell r="Q14" t="b">
            <v>0</v>
          </cell>
        </row>
        <row r="15">
          <cell r="A15">
            <v>8</v>
          </cell>
          <cell r="B15" t="str">
            <v>Compra Venta con Terminación de Obra</v>
          </cell>
          <cell r="C15" t="str">
            <v>08</v>
          </cell>
          <cell r="D15" t="b">
            <v>1</v>
          </cell>
          <cell r="E15" t="b">
            <v>0</v>
          </cell>
          <cell r="F15" t="b">
            <v>1</v>
          </cell>
          <cell r="G15">
            <v>0</v>
          </cell>
          <cell r="H15">
            <v>1</v>
          </cell>
          <cell r="I15" t="b">
            <v>1</v>
          </cell>
          <cell r="J15" t="b">
            <v>1</v>
          </cell>
          <cell r="K15">
            <v>1</v>
          </cell>
          <cell r="L15" t="b">
            <v>0</v>
          </cell>
          <cell r="M15" t="b">
            <v>1</v>
          </cell>
          <cell r="N15" t="b">
            <v>0</v>
          </cell>
          <cell r="O15" t="b">
            <v>0</v>
          </cell>
          <cell r="P15" t="b">
            <v>1</v>
          </cell>
          <cell r="Q15" t="b">
            <v>0</v>
          </cell>
        </row>
        <row r="16">
          <cell r="A16">
            <v>9</v>
          </cell>
          <cell r="B16" t="str">
            <v>Adquisición de Terreno más Construcción de Vivienda</v>
          </cell>
          <cell r="C16" t="str">
            <v>09</v>
          </cell>
          <cell r="D16" t="b">
            <v>1</v>
          </cell>
          <cell r="E16" t="b">
            <v>1</v>
          </cell>
          <cell r="F16" t="b">
            <v>1</v>
          </cell>
          <cell r="G16">
            <v>0</v>
          </cell>
          <cell r="H16">
            <v>3</v>
          </cell>
          <cell r="I16" t="b">
            <v>1</v>
          </cell>
          <cell r="J16" t="b">
            <v>0</v>
          </cell>
          <cell r="K16">
            <v>1</v>
          </cell>
          <cell r="L16" t="b">
            <v>0</v>
          </cell>
          <cell r="M16" t="b">
            <v>1</v>
          </cell>
          <cell r="N16" t="b">
            <v>0</v>
          </cell>
          <cell r="O16" t="b">
            <v>0</v>
          </cell>
          <cell r="P16" t="b">
            <v>1</v>
          </cell>
          <cell r="Q16" t="b">
            <v>0</v>
          </cell>
        </row>
        <row r="18">
          <cell r="L18">
            <v>1</v>
          </cell>
        </row>
        <row r="21">
          <cell r="C21" t="str">
            <v/>
          </cell>
        </row>
        <row r="22">
          <cell r="C22" t="str">
            <v/>
          </cell>
        </row>
        <row r="28">
          <cell r="L28" t="b">
            <v>1</v>
          </cell>
        </row>
      </sheetData>
      <sheetData sheetId="39" refreshError="1">
        <row r="3">
          <cell r="B3">
            <v>2</v>
          </cell>
          <cell r="C3" t="str">
            <v>INFONAVIT</v>
          </cell>
          <cell r="D3" t="str">
            <v>01</v>
          </cell>
          <cell r="F3">
            <v>80.599999999999994</v>
          </cell>
          <cell r="G3" t="str">
            <v>UMA</v>
          </cell>
        </row>
        <row r="4">
          <cell r="B4">
            <v>2</v>
          </cell>
        </row>
        <row r="7">
          <cell r="B7">
            <v>1</v>
          </cell>
        </row>
        <row r="8">
          <cell r="B8">
            <v>2</v>
          </cell>
        </row>
        <row r="9">
          <cell r="B9">
            <v>3</v>
          </cell>
        </row>
        <row r="13">
          <cell r="K13">
            <v>98.8</v>
          </cell>
        </row>
        <row r="14">
          <cell r="K14">
            <v>200</v>
          </cell>
        </row>
        <row r="15">
          <cell r="K15">
            <v>25</v>
          </cell>
        </row>
        <row r="16">
          <cell r="K16">
            <v>180</v>
          </cell>
        </row>
        <row r="17">
          <cell r="K17">
            <v>180</v>
          </cell>
        </row>
        <row r="18">
          <cell r="K18">
            <v>171</v>
          </cell>
        </row>
        <row r="19">
          <cell r="K19">
            <v>171</v>
          </cell>
        </row>
        <row r="20">
          <cell r="K20">
            <v>120.054299</v>
          </cell>
        </row>
      </sheetData>
      <sheetData sheetId="40" refreshError="1">
        <row r="1">
          <cell r="B1">
            <v>2</v>
          </cell>
        </row>
        <row r="2">
          <cell r="B2">
            <v>1</v>
          </cell>
        </row>
        <row r="3">
          <cell r="B3">
            <v>2</v>
          </cell>
        </row>
        <row r="4">
          <cell r="B4">
            <v>3</v>
          </cell>
        </row>
        <row r="5">
          <cell r="B5">
            <v>4</v>
          </cell>
        </row>
        <row r="6">
          <cell r="B6">
            <v>5</v>
          </cell>
        </row>
        <row r="7">
          <cell r="C7" t="str">
            <v>Cofinavit</v>
          </cell>
          <cell r="D7" t="str">
            <v>02</v>
          </cell>
        </row>
      </sheetData>
      <sheetData sheetId="41" refreshError="1">
        <row r="1">
          <cell r="J1">
            <v>0</v>
          </cell>
          <cell r="K1" t="str">
            <v>Se usan en todas las tablas. *DEBEN* de empezar en la fila 4.</v>
          </cell>
          <cell r="L1">
            <v>0</v>
          </cell>
        </row>
        <row r="2">
          <cell r="B2">
            <v>43416</v>
          </cell>
        </row>
        <row r="3">
          <cell r="J3">
            <v>0</v>
          </cell>
          <cell r="K3">
            <v>43416</v>
          </cell>
          <cell r="L3" t="str">
            <v>Duración Intereses</v>
          </cell>
        </row>
        <row r="4">
          <cell r="J4">
            <v>1</v>
          </cell>
          <cell r="K4">
            <v>43437</v>
          </cell>
          <cell r="L4">
            <v>22</v>
          </cell>
        </row>
        <row r="5">
          <cell r="B5">
            <v>2018</v>
          </cell>
          <cell r="J5">
            <v>2</v>
          </cell>
          <cell r="K5">
            <v>43468</v>
          </cell>
          <cell r="L5">
            <v>30.4</v>
          </cell>
        </row>
        <row r="6">
          <cell r="B6">
            <v>3</v>
          </cell>
          <cell r="D6" t="str">
            <v>NO</v>
          </cell>
          <cell r="J6">
            <v>3</v>
          </cell>
          <cell r="K6">
            <v>43499</v>
          </cell>
          <cell r="L6">
            <v>30.4</v>
          </cell>
        </row>
        <row r="7">
          <cell r="B7">
            <v>12</v>
          </cell>
          <cell r="J7">
            <v>4</v>
          </cell>
          <cell r="K7">
            <v>43527</v>
          </cell>
          <cell r="L7">
            <v>30.4</v>
          </cell>
        </row>
        <row r="8">
          <cell r="J8">
            <v>5</v>
          </cell>
          <cell r="K8">
            <v>43558</v>
          </cell>
          <cell r="L8">
            <v>30.4</v>
          </cell>
        </row>
        <row r="9">
          <cell r="J9">
            <v>6</v>
          </cell>
          <cell r="K9">
            <v>43588</v>
          </cell>
          <cell r="L9">
            <v>30.4</v>
          </cell>
        </row>
        <row r="10">
          <cell r="B10">
            <v>12</v>
          </cell>
          <cell r="C10">
            <v>11</v>
          </cell>
          <cell r="D10">
            <v>2018</v>
          </cell>
          <cell r="J10">
            <v>7</v>
          </cell>
          <cell r="K10">
            <v>43619</v>
          </cell>
          <cell r="L10">
            <v>30.4</v>
          </cell>
        </row>
        <row r="11">
          <cell r="G11">
            <v>30</v>
          </cell>
          <cell r="J11">
            <v>8</v>
          </cell>
          <cell r="K11">
            <v>43649</v>
          </cell>
          <cell r="L11">
            <v>30.4</v>
          </cell>
        </row>
        <row r="12">
          <cell r="J12">
            <v>9</v>
          </cell>
          <cell r="K12">
            <v>43680</v>
          </cell>
          <cell r="L12">
            <v>30.4</v>
          </cell>
        </row>
        <row r="13">
          <cell r="J13">
            <v>10</v>
          </cell>
          <cell r="K13">
            <v>43711</v>
          </cell>
          <cell r="L13">
            <v>30.4</v>
          </cell>
        </row>
        <row r="14">
          <cell r="J14">
            <v>11</v>
          </cell>
          <cell r="K14">
            <v>43741</v>
          </cell>
          <cell r="L14">
            <v>30.4</v>
          </cell>
        </row>
        <row r="15">
          <cell r="J15">
            <v>12</v>
          </cell>
          <cell r="K15">
            <v>43772</v>
          </cell>
          <cell r="L15">
            <v>30.4</v>
          </cell>
        </row>
        <row r="16">
          <cell r="J16">
            <v>13</v>
          </cell>
          <cell r="K16">
            <v>43802</v>
          </cell>
          <cell r="L16">
            <v>30.4</v>
          </cell>
        </row>
        <row r="17">
          <cell r="J17">
            <v>14</v>
          </cell>
          <cell r="K17">
            <v>43833</v>
          </cell>
          <cell r="L17">
            <v>30.4</v>
          </cell>
        </row>
        <row r="18">
          <cell r="J18">
            <v>15</v>
          </cell>
          <cell r="K18">
            <v>43864</v>
          </cell>
          <cell r="L18">
            <v>30.4</v>
          </cell>
        </row>
        <row r="19">
          <cell r="J19">
            <v>16</v>
          </cell>
          <cell r="K19">
            <v>43893</v>
          </cell>
          <cell r="L19">
            <v>30.4</v>
          </cell>
        </row>
        <row r="20">
          <cell r="J20">
            <v>17</v>
          </cell>
          <cell r="K20">
            <v>43924</v>
          </cell>
          <cell r="L20">
            <v>30.4</v>
          </cell>
        </row>
        <row r="21">
          <cell r="J21">
            <v>18</v>
          </cell>
          <cell r="K21">
            <v>43954</v>
          </cell>
          <cell r="L21">
            <v>30.4</v>
          </cell>
        </row>
        <row r="22">
          <cell r="J22">
            <v>19</v>
          </cell>
          <cell r="K22">
            <v>43985</v>
          </cell>
          <cell r="L22">
            <v>30.4</v>
          </cell>
        </row>
        <row r="23">
          <cell r="J23">
            <v>20</v>
          </cell>
          <cell r="K23">
            <v>44015</v>
          </cell>
          <cell r="L23">
            <v>30.4</v>
          </cell>
        </row>
        <row r="24">
          <cell r="J24">
            <v>21</v>
          </cell>
          <cell r="K24">
            <v>44046</v>
          </cell>
          <cell r="L24">
            <v>30.4</v>
          </cell>
        </row>
        <row r="25">
          <cell r="J25">
            <v>22</v>
          </cell>
          <cell r="K25">
            <v>44077</v>
          </cell>
          <cell r="L25">
            <v>30.4</v>
          </cell>
        </row>
        <row r="26">
          <cell r="J26">
            <v>23</v>
          </cell>
          <cell r="K26">
            <v>44107</v>
          </cell>
          <cell r="L26">
            <v>30.4</v>
          </cell>
        </row>
        <row r="27">
          <cell r="J27">
            <v>24</v>
          </cell>
          <cell r="K27">
            <v>44138</v>
          </cell>
          <cell r="L27">
            <v>30.4</v>
          </cell>
        </row>
        <row r="28">
          <cell r="J28">
            <v>25</v>
          </cell>
          <cell r="K28">
            <v>44168</v>
          </cell>
          <cell r="L28">
            <v>30.4</v>
          </cell>
        </row>
        <row r="29">
          <cell r="J29">
            <v>26</v>
          </cell>
          <cell r="K29">
            <v>44199</v>
          </cell>
          <cell r="L29">
            <v>30.4</v>
          </cell>
        </row>
        <row r="30">
          <cell r="J30">
            <v>27</v>
          </cell>
          <cell r="K30">
            <v>44230</v>
          </cell>
          <cell r="L30">
            <v>30.4</v>
          </cell>
        </row>
        <row r="31">
          <cell r="J31">
            <v>28</v>
          </cell>
          <cell r="K31">
            <v>44258</v>
          </cell>
          <cell r="L31">
            <v>30.4</v>
          </cell>
        </row>
        <row r="32">
          <cell r="J32">
            <v>29</v>
          </cell>
          <cell r="K32">
            <v>44289</v>
          </cell>
          <cell r="L32">
            <v>30.4</v>
          </cell>
        </row>
        <row r="33">
          <cell r="J33">
            <v>30</v>
          </cell>
          <cell r="K33">
            <v>44319</v>
          </cell>
          <cell r="L33">
            <v>30.4</v>
          </cell>
        </row>
        <row r="34">
          <cell r="J34">
            <v>31</v>
          </cell>
          <cell r="K34">
            <v>44350</v>
          </cell>
          <cell r="L34">
            <v>30.4</v>
          </cell>
        </row>
        <row r="35">
          <cell r="J35">
            <v>32</v>
          </cell>
          <cell r="K35">
            <v>44380</v>
          </cell>
          <cell r="L35">
            <v>30.4</v>
          </cell>
        </row>
        <row r="36">
          <cell r="J36">
            <v>33</v>
          </cell>
          <cell r="K36">
            <v>44411</v>
          </cell>
          <cell r="L36">
            <v>30.4</v>
          </cell>
        </row>
        <row r="37">
          <cell r="J37">
            <v>34</v>
          </cell>
          <cell r="K37">
            <v>44442</v>
          </cell>
          <cell r="L37">
            <v>30.4</v>
          </cell>
        </row>
        <row r="38">
          <cell r="J38">
            <v>35</v>
          </cell>
          <cell r="K38">
            <v>44472</v>
          </cell>
          <cell r="L38">
            <v>30.4</v>
          </cell>
        </row>
        <row r="39">
          <cell r="J39">
            <v>36</v>
          </cell>
          <cell r="K39">
            <v>44503</v>
          </cell>
          <cell r="L39">
            <v>30.4</v>
          </cell>
        </row>
        <row r="40">
          <cell r="J40">
            <v>37</v>
          </cell>
          <cell r="K40">
            <v>44533</v>
          </cell>
          <cell r="L40">
            <v>30.4</v>
          </cell>
        </row>
        <row r="41">
          <cell r="J41">
            <v>38</v>
          </cell>
          <cell r="K41">
            <v>44564</v>
          </cell>
          <cell r="L41">
            <v>30.4</v>
          </cell>
        </row>
        <row r="42">
          <cell r="J42">
            <v>39</v>
          </cell>
          <cell r="K42">
            <v>44595</v>
          </cell>
          <cell r="L42">
            <v>30.4</v>
          </cell>
        </row>
        <row r="43">
          <cell r="J43">
            <v>40</v>
          </cell>
          <cell r="K43">
            <v>44623</v>
          </cell>
          <cell r="L43">
            <v>30.4</v>
          </cell>
        </row>
        <row r="44">
          <cell r="J44">
            <v>41</v>
          </cell>
          <cell r="K44">
            <v>44654</v>
          </cell>
          <cell r="L44">
            <v>30.4</v>
          </cell>
        </row>
        <row r="45">
          <cell r="J45">
            <v>42</v>
          </cell>
          <cell r="K45">
            <v>44684</v>
          </cell>
          <cell r="L45">
            <v>30.4</v>
          </cell>
        </row>
        <row r="46">
          <cell r="J46">
            <v>43</v>
          </cell>
          <cell r="K46">
            <v>44715</v>
          </cell>
          <cell r="L46">
            <v>30.4</v>
          </cell>
        </row>
        <row r="47">
          <cell r="J47">
            <v>44</v>
          </cell>
          <cell r="K47">
            <v>44745</v>
          </cell>
          <cell r="L47">
            <v>30.4</v>
          </cell>
        </row>
        <row r="48">
          <cell r="J48">
            <v>45</v>
          </cell>
          <cell r="K48">
            <v>44776</v>
          </cell>
          <cell r="L48">
            <v>30.4</v>
          </cell>
        </row>
        <row r="49">
          <cell r="J49">
            <v>46</v>
          </cell>
          <cell r="K49">
            <v>44807</v>
          </cell>
          <cell r="L49">
            <v>30.4</v>
          </cell>
        </row>
        <row r="50">
          <cell r="J50">
            <v>47</v>
          </cell>
          <cell r="K50">
            <v>44837</v>
          </cell>
          <cell r="L50">
            <v>30.4</v>
          </cell>
        </row>
        <row r="51">
          <cell r="J51">
            <v>48</v>
          </cell>
          <cell r="K51">
            <v>44868</v>
          </cell>
          <cell r="L51">
            <v>30.4</v>
          </cell>
        </row>
        <row r="52">
          <cell r="J52">
            <v>49</v>
          </cell>
          <cell r="K52">
            <v>44898</v>
          </cell>
          <cell r="L52">
            <v>30.4</v>
          </cell>
        </row>
        <row r="53">
          <cell r="J53">
            <v>50</v>
          </cell>
          <cell r="K53">
            <v>44929</v>
          </cell>
          <cell r="L53">
            <v>30.4</v>
          </cell>
        </row>
        <row r="54">
          <cell r="J54">
            <v>51</v>
          </cell>
          <cell r="K54">
            <v>44960</v>
          </cell>
          <cell r="L54">
            <v>30.4</v>
          </cell>
        </row>
        <row r="55">
          <cell r="J55">
            <v>52</v>
          </cell>
          <cell r="K55">
            <v>44988</v>
          </cell>
          <cell r="L55">
            <v>30.4</v>
          </cell>
        </row>
        <row r="56">
          <cell r="J56">
            <v>53</v>
          </cell>
          <cell r="K56">
            <v>45019</v>
          </cell>
          <cell r="L56">
            <v>30.4</v>
          </cell>
        </row>
        <row r="57">
          <cell r="J57">
            <v>54</v>
          </cell>
          <cell r="K57">
            <v>45049</v>
          </cell>
          <cell r="L57">
            <v>30.4</v>
          </cell>
        </row>
        <row r="58">
          <cell r="J58">
            <v>55</v>
          </cell>
          <cell r="K58">
            <v>45080</v>
          </cell>
          <cell r="L58">
            <v>30.4</v>
          </cell>
        </row>
        <row r="59">
          <cell r="J59">
            <v>56</v>
          </cell>
          <cell r="K59">
            <v>45110</v>
          </cell>
          <cell r="L59">
            <v>30.4</v>
          </cell>
        </row>
        <row r="60">
          <cell r="J60">
            <v>57</v>
          </cell>
          <cell r="K60">
            <v>45141</v>
          </cell>
          <cell r="L60">
            <v>30.4</v>
          </cell>
        </row>
        <row r="61">
          <cell r="J61">
            <v>58</v>
          </cell>
          <cell r="K61">
            <v>45172</v>
          </cell>
          <cell r="L61">
            <v>30.4</v>
          </cell>
        </row>
        <row r="62">
          <cell r="J62">
            <v>59</v>
          </cell>
          <cell r="K62">
            <v>45202</v>
          </cell>
          <cell r="L62">
            <v>30.4</v>
          </cell>
        </row>
        <row r="63">
          <cell r="J63">
            <v>60</v>
          </cell>
          <cell r="K63">
            <v>45233</v>
          </cell>
          <cell r="L63">
            <v>30.4</v>
          </cell>
        </row>
        <row r="64">
          <cell r="J64">
            <v>61</v>
          </cell>
          <cell r="K64">
            <v>45263</v>
          </cell>
          <cell r="L64">
            <v>30.4</v>
          </cell>
        </row>
        <row r="65">
          <cell r="J65">
            <v>62</v>
          </cell>
          <cell r="K65">
            <v>45294</v>
          </cell>
          <cell r="L65">
            <v>30.4</v>
          </cell>
        </row>
        <row r="66">
          <cell r="J66">
            <v>63</v>
          </cell>
          <cell r="K66">
            <v>45325</v>
          </cell>
          <cell r="L66">
            <v>30.4</v>
          </cell>
        </row>
        <row r="67">
          <cell r="J67">
            <v>64</v>
          </cell>
          <cell r="K67">
            <v>45354</v>
          </cell>
          <cell r="L67">
            <v>30.4</v>
          </cell>
        </row>
        <row r="68">
          <cell r="J68">
            <v>65</v>
          </cell>
          <cell r="K68">
            <v>45385</v>
          </cell>
          <cell r="L68">
            <v>30.4</v>
          </cell>
        </row>
        <row r="69">
          <cell r="J69">
            <v>66</v>
          </cell>
          <cell r="K69">
            <v>45415</v>
          </cell>
          <cell r="L69">
            <v>30.4</v>
          </cell>
        </row>
        <row r="70">
          <cell r="J70">
            <v>67</v>
          </cell>
          <cell r="K70">
            <v>45446</v>
          </cell>
          <cell r="L70">
            <v>30.4</v>
          </cell>
        </row>
        <row r="71">
          <cell r="J71">
            <v>68</v>
          </cell>
          <cell r="K71">
            <v>45476</v>
          </cell>
          <cell r="L71">
            <v>30.4</v>
          </cell>
        </row>
        <row r="72">
          <cell r="J72">
            <v>69</v>
          </cell>
          <cell r="K72">
            <v>45507</v>
          </cell>
          <cell r="L72">
            <v>30.4</v>
          </cell>
        </row>
        <row r="73">
          <cell r="J73">
            <v>70</v>
          </cell>
          <cell r="K73">
            <v>45538</v>
          </cell>
          <cell r="L73">
            <v>30.4</v>
          </cell>
        </row>
        <row r="74">
          <cell r="J74">
            <v>71</v>
          </cell>
          <cell r="K74">
            <v>45568</v>
          </cell>
          <cell r="L74">
            <v>30.4</v>
          </cell>
        </row>
        <row r="75">
          <cell r="J75">
            <v>72</v>
          </cell>
          <cell r="K75">
            <v>45599</v>
          </cell>
          <cell r="L75">
            <v>30.4</v>
          </cell>
        </row>
        <row r="76">
          <cell r="J76">
            <v>73</v>
          </cell>
          <cell r="K76">
            <v>45629</v>
          </cell>
          <cell r="L76">
            <v>30.4</v>
          </cell>
        </row>
        <row r="77">
          <cell r="J77">
            <v>74</v>
          </cell>
          <cell r="K77">
            <v>45660</v>
          </cell>
          <cell r="L77">
            <v>30.4</v>
          </cell>
        </row>
        <row r="78">
          <cell r="J78">
            <v>75</v>
          </cell>
          <cell r="K78">
            <v>45691</v>
          </cell>
          <cell r="L78">
            <v>30.4</v>
          </cell>
        </row>
        <row r="79">
          <cell r="J79">
            <v>76</v>
          </cell>
          <cell r="K79">
            <v>45719</v>
          </cell>
          <cell r="L79">
            <v>30.4</v>
          </cell>
        </row>
        <row r="80">
          <cell r="J80">
            <v>77</v>
          </cell>
          <cell r="K80">
            <v>45750</v>
          </cell>
          <cell r="L80">
            <v>30.4</v>
          </cell>
        </row>
        <row r="81">
          <cell r="J81">
            <v>78</v>
          </cell>
          <cell r="K81">
            <v>45780</v>
          </cell>
          <cell r="L81">
            <v>30.4</v>
          </cell>
        </row>
        <row r="82">
          <cell r="J82">
            <v>79</v>
          </cell>
          <cell r="K82">
            <v>45811</v>
          </cell>
          <cell r="L82">
            <v>30.4</v>
          </cell>
        </row>
        <row r="83">
          <cell r="J83">
            <v>80</v>
          </cell>
          <cell r="K83">
            <v>45841</v>
          </cell>
          <cell r="L83">
            <v>30.4</v>
          </cell>
        </row>
        <row r="84">
          <cell r="J84">
            <v>81</v>
          </cell>
          <cell r="K84">
            <v>45872</v>
          </cell>
          <cell r="L84">
            <v>30.4</v>
          </cell>
        </row>
        <row r="85">
          <cell r="J85">
            <v>82</v>
          </cell>
          <cell r="K85">
            <v>45903</v>
          </cell>
          <cell r="L85">
            <v>30.4</v>
          </cell>
        </row>
        <row r="86">
          <cell r="J86">
            <v>83</v>
          </cell>
          <cell r="K86">
            <v>45933</v>
          </cell>
          <cell r="L86">
            <v>30.4</v>
          </cell>
        </row>
        <row r="87">
          <cell r="J87">
            <v>84</v>
          </cell>
          <cell r="K87">
            <v>45964</v>
          </cell>
          <cell r="L87">
            <v>30.4</v>
          </cell>
        </row>
        <row r="88">
          <cell r="J88">
            <v>85</v>
          </cell>
          <cell r="K88">
            <v>45994</v>
          </cell>
          <cell r="L88">
            <v>30.4</v>
          </cell>
        </row>
        <row r="89">
          <cell r="J89">
            <v>86</v>
          </cell>
          <cell r="K89">
            <v>46025</v>
          </cell>
          <cell r="L89">
            <v>30.4</v>
          </cell>
        </row>
        <row r="90">
          <cell r="J90">
            <v>87</v>
          </cell>
          <cell r="K90">
            <v>46056</v>
          </cell>
          <cell r="L90">
            <v>30.4</v>
          </cell>
        </row>
        <row r="91">
          <cell r="J91">
            <v>88</v>
          </cell>
          <cell r="K91">
            <v>46084</v>
          </cell>
          <cell r="L91">
            <v>30.4</v>
          </cell>
        </row>
        <row r="92">
          <cell r="J92">
            <v>89</v>
          </cell>
          <cell r="K92">
            <v>46115</v>
          </cell>
          <cell r="L92">
            <v>30.4</v>
          </cell>
        </row>
        <row r="93">
          <cell r="J93">
            <v>90</v>
          </cell>
          <cell r="K93">
            <v>46145</v>
          </cell>
          <cell r="L93">
            <v>30.4</v>
          </cell>
        </row>
        <row r="94">
          <cell r="J94">
            <v>91</v>
          </cell>
          <cell r="K94">
            <v>46176</v>
          </cell>
          <cell r="L94">
            <v>30.4</v>
          </cell>
        </row>
        <row r="95">
          <cell r="J95">
            <v>92</v>
          </cell>
          <cell r="K95">
            <v>46206</v>
          </cell>
          <cell r="L95">
            <v>30.4</v>
          </cell>
        </row>
        <row r="96">
          <cell r="J96">
            <v>93</v>
          </cell>
          <cell r="K96">
            <v>46237</v>
          </cell>
          <cell r="L96">
            <v>30.4</v>
          </cell>
        </row>
        <row r="97">
          <cell r="J97">
            <v>94</v>
          </cell>
          <cell r="K97">
            <v>46268</v>
          </cell>
          <cell r="L97">
            <v>30.4</v>
          </cell>
        </row>
        <row r="98">
          <cell r="J98">
            <v>95</v>
          </cell>
          <cell r="K98">
            <v>46298</v>
          </cell>
          <cell r="L98">
            <v>30.4</v>
          </cell>
        </row>
        <row r="99">
          <cell r="J99">
            <v>96</v>
          </cell>
          <cell r="K99">
            <v>46329</v>
          </cell>
          <cell r="L99">
            <v>30.4</v>
          </cell>
        </row>
        <row r="100">
          <cell r="J100">
            <v>97</v>
          </cell>
          <cell r="K100">
            <v>46359</v>
          </cell>
          <cell r="L100">
            <v>30.4</v>
          </cell>
        </row>
        <row r="101">
          <cell r="J101">
            <v>98</v>
          </cell>
          <cell r="K101">
            <v>46390</v>
          </cell>
          <cell r="L101">
            <v>30.4</v>
          </cell>
        </row>
        <row r="102">
          <cell r="J102">
            <v>99</v>
          </cell>
          <cell r="K102">
            <v>46421</v>
          </cell>
          <cell r="L102">
            <v>30.4</v>
          </cell>
        </row>
        <row r="103">
          <cell r="J103">
            <v>100</v>
          </cell>
          <cell r="K103">
            <v>46449</v>
          </cell>
          <cell r="L103">
            <v>30.4</v>
          </cell>
        </row>
        <row r="104">
          <cell r="J104">
            <v>101</v>
          </cell>
          <cell r="K104">
            <v>46480</v>
          </cell>
          <cell r="L104">
            <v>30.4</v>
          </cell>
        </row>
        <row r="105">
          <cell r="J105">
            <v>102</v>
          </cell>
          <cell r="K105">
            <v>46510</v>
          </cell>
          <cell r="L105">
            <v>30.4</v>
          </cell>
        </row>
        <row r="106">
          <cell r="J106">
            <v>103</v>
          </cell>
          <cell r="K106">
            <v>46541</v>
          </cell>
          <cell r="L106">
            <v>30.4</v>
          </cell>
        </row>
        <row r="107">
          <cell r="J107">
            <v>104</v>
          </cell>
          <cell r="K107">
            <v>46571</v>
          </cell>
          <cell r="L107">
            <v>30.4</v>
          </cell>
        </row>
        <row r="108">
          <cell r="J108">
            <v>105</v>
          </cell>
          <cell r="K108">
            <v>46602</v>
          </cell>
          <cell r="L108">
            <v>30.4</v>
          </cell>
        </row>
        <row r="109">
          <cell r="J109">
            <v>106</v>
          </cell>
          <cell r="K109">
            <v>46633</v>
          </cell>
          <cell r="L109">
            <v>30.4</v>
          </cell>
        </row>
        <row r="110">
          <cell r="J110">
            <v>107</v>
          </cell>
          <cell r="K110">
            <v>46663</v>
          </cell>
          <cell r="L110">
            <v>30.4</v>
          </cell>
        </row>
        <row r="111">
          <cell r="J111">
            <v>108</v>
          </cell>
          <cell r="K111">
            <v>46694</v>
          </cell>
          <cell r="L111">
            <v>30.4</v>
          </cell>
        </row>
        <row r="112">
          <cell r="J112">
            <v>109</v>
          </cell>
          <cell r="K112">
            <v>46724</v>
          </cell>
          <cell r="L112">
            <v>30.4</v>
          </cell>
        </row>
        <row r="113">
          <cell r="J113">
            <v>110</v>
          </cell>
          <cell r="K113">
            <v>46755</v>
          </cell>
          <cell r="L113">
            <v>30.4</v>
          </cell>
        </row>
        <row r="114">
          <cell r="J114">
            <v>111</v>
          </cell>
          <cell r="K114">
            <v>46786</v>
          </cell>
          <cell r="L114">
            <v>30.4</v>
          </cell>
        </row>
        <row r="115">
          <cell r="J115">
            <v>112</v>
          </cell>
          <cell r="K115">
            <v>46815</v>
          </cell>
          <cell r="L115">
            <v>30.4</v>
          </cell>
        </row>
        <row r="116">
          <cell r="J116">
            <v>113</v>
          </cell>
          <cell r="K116">
            <v>46846</v>
          </cell>
          <cell r="L116">
            <v>30.4</v>
          </cell>
        </row>
        <row r="117">
          <cell r="J117">
            <v>114</v>
          </cell>
          <cell r="K117">
            <v>46876</v>
          </cell>
          <cell r="L117">
            <v>30.4</v>
          </cell>
        </row>
        <row r="118">
          <cell r="J118">
            <v>115</v>
          </cell>
          <cell r="K118">
            <v>46907</v>
          </cell>
          <cell r="L118">
            <v>30.4</v>
          </cell>
        </row>
        <row r="119">
          <cell r="J119">
            <v>116</v>
          </cell>
          <cell r="K119">
            <v>46937</v>
          </cell>
          <cell r="L119">
            <v>30.4</v>
          </cell>
        </row>
        <row r="120">
          <cell r="J120">
            <v>117</v>
          </cell>
          <cell r="K120">
            <v>46968</v>
          </cell>
          <cell r="L120">
            <v>30.4</v>
          </cell>
        </row>
        <row r="121">
          <cell r="J121">
            <v>118</v>
          </cell>
          <cell r="K121">
            <v>46999</v>
          </cell>
          <cell r="L121">
            <v>30.4</v>
          </cell>
        </row>
        <row r="122">
          <cell r="J122">
            <v>119</v>
          </cell>
          <cell r="K122">
            <v>47029</v>
          </cell>
          <cell r="L122">
            <v>30.4</v>
          </cell>
        </row>
        <row r="123">
          <cell r="J123">
            <v>120</v>
          </cell>
          <cell r="K123">
            <v>47060</v>
          </cell>
          <cell r="L123">
            <v>30.4</v>
          </cell>
        </row>
        <row r="124">
          <cell r="J124">
            <v>121</v>
          </cell>
          <cell r="K124">
            <v>47090</v>
          </cell>
          <cell r="L124">
            <v>30.4</v>
          </cell>
        </row>
        <row r="125">
          <cell r="J125">
            <v>122</v>
          </cell>
          <cell r="K125">
            <v>47121</v>
          </cell>
          <cell r="L125">
            <v>30.4</v>
          </cell>
        </row>
        <row r="126">
          <cell r="J126">
            <v>123</v>
          </cell>
          <cell r="K126">
            <v>47152</v>
          </cell>
          <cell r="L126">
            <v>30.4</v>
          </cell>
        </row>
        <row r="127">
          <cell r="J127">
            <v>124</v>
          </cell>
          <cell r="K127">
            <v>47180</v>
          </cell>
          <cell r="L127">
            <v>30.4</v>
          </cell>
        </row>
        <row r="128">
          <cell r="J128">
            <v>125</v>
          </cell>
          <cell r="K128">
            <v>47211</v>
          </cell>
          <cell r="L128">
            <v>30.4</v>
          </cell>
        </row>
        <row r="129">
          <cell r="J129">
            <v>126</v>
          </cell>
          <cell r="K129">
            <v>47241</v>
          </cell>
          <cell r="L129">
            <v>30.4</v>
          </cell>
        </row>
        <row r="130">
          <cell r="J130">
            <v>127</v>
          </cell>
          <cell r="K130">
            <v>47272</v>
          </cell>
          <cell r="L130">
            <v>30.4</v>
          </cell>
        </row>
        <row r="131">
          <cell r="J131">
            <v>128</v>
          </cell>
          <cell r="K131">
            <v>47302</v>
          </cell>
          <cell r="L131">
            <v>30.4</v>
          </cell>
        </row>
        <row r="132">
          <cell r="J132">
            <v>129</v>
          </cell>
          <cell r="K132">
            <v>47333</v>
          </cell>
          <cell r="L132">
            <v>30.4</v>
          </cell>
        </row>
        <row r="133">
          <cell r="J133">
            <v>130</v>
          </cell>
          <cell r="K133">
            <v>47364</v>
          </cell>
          <cell r="L133">
            <v>30.4</v>
          </cell>
        </row>
        <row r="134">
          <cell r="J134">
            <v>131</v>
          </cell>
          <cell r="K134">
            <v>47394</v>
          </cell>
          <cell r="L134">
            <v>30.4</v>
          </cell>
        </row>
        <row r="135">
          <cell r="J135">
            <v>132</v>
          </cell>
          <cell r="K135">
            <v>47425</v>
          </cell>
          <cell r="L135">
            <v>30.4</v>
          </cell>
        </row>
        <row r="136">
          <cell r="J136">
            <v>133</v>
          </cell>
          <cell r="K136">
            <v>47455</v>
          </cell>
          <cell r="L136">
            <v>30.4</v>
          </cell>
        </row>
        <row r="137">
          <cell r="J137">
            <v>134</v>
          </cell>
          <cell r="K137">
            <v>47486</v>
          </cell>
          <cell r="L137">
            <v>30.4</v>
          </cell>
        </row>
        <row r="138">
          <cell r="J138">
            <v>135</v>
          </cell>
          <cell r="K138">
            <v>47517</v>
          </cell>
          <cell r="L138">
            <v>30.4</v>
          </cell>
        </row>
        <row r="139">
          <cell r="J139">
            <v>136</v>
          </cell>
          <cell r="K139">
            <v>47545</v>
          </cell>
          <cell r="L139">
            <v>30.4</v>
          </cell>
        </row>
        <row r="140">
          <cell r="J140">
            <v>137</v>
          </cell>
          <cell r="K140">
            <v>47576</v>
          </cell>
          <cell r="L140">
            <v>30.4</v>
          </cell>
        </row>
        <row r="141">
          <cell r="J141">
            <v>138</v>
          </cell>
          <cell r="K141">
            <v>47606</v>
          </cell>
          <cell r="L141">
            <v>30.4</v>
          </cell>
        </row>
        <row r="142">
          <cell r="J142">
            <v>139</v>
          </cell>
          <cell r="K142">
            <v>47637</v>
          </cell>
          <cell r="L142">
            <v>30.4</v>
          </cell>
        </row>
        <row r="143">
          <cell r="J143">
            <v>140</v>
          </cell>
          <cell r="K143">
            <v>47667</v>
          </cell>
          <cell r="L143">
            <v>30.4</v>
          </cell>
        </row>
        <row r="144">
          <cell r="J144">
            <v>141</v>
          </cell>
          <cell r="K144">
            <v>47698</v>
          </cell>
          <cell r="L144">
            <v>30.4</v>
          </cell>
        </row>
        <row r="145">
          <cell r="J145">
            <v>142</v>
          </cell>
          <cell r="K145">
            <v>47729</v>
          </cell>
          <cell r="L145">
            <v>30.4</v>
          </cell>
        </row>
        <row r="146">
          <cell r="J146">
            <v>143</v>
          </cell>
          <cell r="K146">
            <v>47759</v>
          </cell>
          <cell r="L146">
            <v>30.4</v>
          </cell>
        </row>
        <row r="147">
          <cell r="J147">
            <v>144</v>
          </cell>
          <cell r="K147">
            <v>47790</v>
          </cell>
          <cell r="L147">
            <v>30.4</v>
          </cell>
        </row>
        <row r="148">
          <cell r="J148">
            <v>145</v>
          </cell>
          <cell r="K148">
            <v>47820</v>
          </cell>
          <cell r="L148">
            <v>30.4</v>
          </cell>
        </row>
        <row r="149">
          <cell r="J149">
            <v>146</v>
          </cell>
          <cell r="K149">
            <v>47851</v>
          </cell>
          <cell r="L149">
            <v>30.4</v>
          </cell>
        </row>
        <row r="150">
          <cell r="J150">
            <v>147</v>
          </cell>
          <cell r="K150">
            <v>47882</v>
          </cell>
          <cell r="L150">
            <v>30.4</v>
          </cell>
        </row>
        <row r="151">
          <cell r="J151">
            <v>148</v>
          </cell>
          <cell r="K151">
            <v>47910</v>
          </cell>
          <cell r="L151">
            <v>30.4</v>
          </cell>
        </row>
        <row r="152">
          <cell r="J152">
            <v>149</v>
          </cell>
          <cell r="K152">
            <v>47941</v>
          </cell>
          <cell r="L152">
            <v>30.4</v>
          </cell>
        </row>
        <row r="153">
          <cell r="J153">
            <v>150</v>
          </cell>
          <cell r="K153">
            <v>47971</v>
          </cell>
          <cell r="L153">
            <v>30.4</v>
          </cell>
        </row>
        <row r="154">
          <cell r="J154">
            <v>151</v>
          </cell>
          <cell r="K154">
            <v>48002</v>
          </cell>
          <cell r="L154">
            <v>30.4</v>
          </cell>
        </row>
        <row r="155">
          <cell r="J155">
            <v>152</v>
          </cell>
          <cell r="K155">
            <v>48032</v>
          </cell>
          <cell r="L155">
            <v>30.4</v>
          </cell>
        </row>
        <row r="156">
          <cell r="J156">
            <v>153</v>
          </cell>
          <cell r="K156">
            <v>48063</v>
          </cell>
          <cell r="L156">
            <v>30.4</v>
          </cell>
        </row>
        <row r="157">
          <cell r="J157">
            <v>154</v>
          </cell>
          <cell r="K157">
            <v>48094</v>
          </cell>
          <cell r="L157">
            <v>30.4</v>
          </cell>
        </row>
        <row r="158">
          <cell r="J158">
            <v>155</v>
          </cell>
          <cell r="K158">
            <v>48124</v>
          </cell>
          <cell r="L158">
            <v>30.4</v>
          </cell>
        </row>
        <row r="159">
          <cell r="J159">
            <v>156</v>
          </cell>
          <cell r="K159">
            <v>48155</v>
          </cell>
          <cell r="L159">
            <v>30.4</v>
          </cell>
        </row>
        <row r="160">
          <cell r="J160">
            <v>157</v>
          </cell>
          <cell r="K160">
            <v>48185</v>
          </cell>
          <cell r="L160">
            <v>30.4</v>
          </cell>
        </row>
        <row r="161">
          <cell r="J161">
            <v>158</v>
          </cell>
          <cell r="K161">
            <v>48216</v>
          </cell>
          <cell r="L161">
            <v>30.4</v>
          </cell>
        </row>
        <row r="162">
          <cell r="J162">
            <v>159</v>
          </cell>
          <cell r="K162">
            <v>48247</v>
          </cell>
          <cell r="L162">
            <v>30.4</v>
          </cell>
        </row>
        <row r="163">
          <cell r="J163">
            <v>160</v>
          </cell>
          <cell r="K163">
            <v>48276</v>
          </cell>
          <cell r="L163">
            <v>30.4</v>
          </cell>
        </row>
        <row r="164">
          <cell r="J164">
            <v>161</v>
          </cell>
          <cell r="K164">
            <v>48307</v>
          </cell>
          <cell r="L164">
            <v>30.4</v>
          </cell>
        </row>
        <row r="165">
          <cell r="J165">
            <v>162</v>
          </cell>
          <cell r="K165">
            <v>48337</v>
          </cell>
          <cell r="L165">
            <v>30.4</v>
          </cell>
        </row>
        <row r="166">
          <cell r="J166">
            <v>163</v>
          </cell>
          <cell r="K166">
            <v>48368</v>
          </cell>
          <cell r="L166">
            <v>30.4</v>
          </cell>
        </row>
        <row r="167">
          <cell r="J167">
            <v>164</v>
          </cell>
          <cell r="K167">
            <v>48398</v>
          </cell>
          <cell r="L167">
            <v>30.4</v>
          </cell>
        </row>
        <row r="168">
          <cell r="J168">
            <v>165</v>
          </cell>
          <cell r="K168">
            <v>48429</v>
          </cell>
          <cell r="L168">
            <v>30.4</v>
          </cell>
        </row>
        <row r="169">
          <cell r="J169">
            <v>166</v>
          </cell>
          <cell r="K169">
            <v>48460</v>
          </cell>
          <cell r="L169">
            <v>30.4</v>
          </cell>
        </row>
        <row r="170">
          <cell r="J170">
            <v>167</v>
          </cell>
          <cell r="K170">
            <v>48490</v>
          </cell>
          <cell r="L170">
            <v>30.4</v>
          </cell>
        </row>
        <row r="171">
          <cell r="J171">
            <v>168</v>
          </cell>
          <cell r="K171">
            <v>48521</v>
          </cell>
          <cell r="L171">
            <v>30.4</v>
          </cell>
        </row>
        <row r="172">
          <cell r="J172">
            <v>169</v>
          </cell>
          <cell r="K172">
            <v>48551</v>
          </cell>
          <cell r="L172">
            <v>30.4</v>
          </cell>
        </row>
        <row r="173">
          <cell r="J173">
            <v>170</v>
          </cell>
          <cell r="K173">
            <v>48582</v>
          </cell>
          <cell r="L173">
            <v>30.4</v>
          </cell>
        </row>
        <row r="174">
          <cell r="J174">
            <v>171</v>
          </cell>
          <cell r="K174">
            <v>48613</v>
          </cell>
          <cell r="L174">
            <v>30.4</v>
          </cell>
        </row>
        <row r="175">
          <cell r="J175">
            <v>172</v>
          </cell>
          <cell r="K175">
            <v>48641</v>
          </cell>
          <cell r="L175">
            <v>30.4</v>
          </cell>
        </row>
        <row r="176">
          <cell r="J176">
            <v>173</v>
          </cell>
          <cell r="K176">
            <v>48672</v>
          </cell>
          <cell r="L176">
            <v>30.4</v>
          </cell>
        </row>
        <row r="177">
          <cell r="J177">
            <v>174</v>
          </cell>
          <cell r="K177">
            <v>48702</v>
          </cell>
          <cell r="L177">
            <v>30.4</v>
          </cell>
        </row>
        <row r="178">
          <cell r="J178">
            <v>175</v>
          </cell>
          <cell r="K178">
            <v>48733</v>
          </cell>
          <cell r="L178">
            <v>30.4</v>
          </cell>
        </row>
        <row r="179">
          <cell r="J179">
            <v>176</v>
          </cell>
          <cell r="K179">
            <v>48763</v>
          </cell>
          <cell r="L179">
            <v>30.4</v>
          </cell>
        </row>
        <row r="180">
          <cell r="J180">
            <v>177</v>
          </cell>
          <cell r="K180">
            <v>48794</v>
          </cell>
          <cell r="L180">
            <v>30.4</v>
          </cell>
        </row>
        <row r="181">
          <cell r="J181">
            <v>178</v>
          </cell>
          <cell r="K181">
            <v>48825</v>
          </cell>
          <cell r="L181">
            <v>30.4</v>
          </cell>
        </row>
        <row r="182">
          <cell r="J182">
            <v>179</v>
          </cell>
          <cell r="K182">
            <v>48855</v>
          </cell>
          <cell r="L182">
            <v>30.4</v>
          </cell>
        </row>
        <row r="183">
          <cell r="J183">
            <v>180</v>
          </cell>
          <cell r="K183">
            <v>48886</v>
          </cell>
          <cell r="L183">
            <v>30.4</v>
          </cell>
        </row>
        <row r="184">
          <cell r="J184">
            <v>181</v>
          </cell>
          <cell r="K184">
            <v>48916</v>
          </cell>
          <cell r="L184">
            <v>30.4</v>
          </cell>
        </row>
        <row r="185">
          <cell r="J185">
            <v>182</v>
          </cell>
          <cell r="K185">
            <v>48947</v>
          </cell>
          <cell r="L185">
            <v>30.4</v>
          </cell>
        </row>
        <row r="186">
          <cell r="J186">
            <v>183</v>
          </cell>
          <cell r="K186">
            <v>48978</v>
          </cell>
          <cell r="L186">
            <v>30.4</v>
          </cell>
        </row>
        <row r="187">
          <cell r="J187">
            <v>184</v>
          </cell>
          <cell r="K187">
            <v>49006</v>
          </cell>
          <cell r="L187">
            <v>30.4</v>
          </cell>
        </row>
        <row r="188">
          <cell r="J188">
            <v>185</v>
          </cell>
          <cell r="K188">
            <v>49037</v>
          </cell>
          <cell r="L188">
            <v>30.4</v>
          </cell>
        </row>
        <row r="189">
          <cell r="J189">
            <v>186</v>
          </cell>
          <cell r="K189">
            <v>49067</v>
          </cell>
          <cell r="L189">
            <v>30.4</v>
          </cell>
        </row>
        <row r="190">
          <cell r="J190">
            <v>187</v>
          </cell>
          <cell r="K190">
            <v>49098</v>
          </cell>
          <cell r="L190">
            <v>30.4</v>
          </cell>
        </row>
        <row r="191">
          <cell r="J191">
            <v>188</v>
          </cell>
          <cell r="K191">
            <v>49128</v>
          </cell>
          <cell r="L191">
            <v>30.4</v>
          </cell>
        </row>
        <row r="192">
          <cell r="J192">
            <v>189</v>
          </cell>
          <cell r="K192">
            <v>49159</v>
          </cell>
          <cell r="L192">
            <v>30.4</v>
          </cell>
        </row>
        <row r="193">
          <cell r="J193">
            <v>190</v>
          </cell>
          <cell r="K193">
            <v>49190</v>
          </cell>
          <cell r="L193">
            <v>30.4</v>
          </cell>
        </row>
        <row r="194">
          <cell r="J194">
            <v>191</v>
          </cell>
          <cell r="K194">
            <v>49220</v>
          </cell>
          <cell r="L194">
            <v>30.4</v>
          </cell>
        </row>
        <row r="195">
          <cell r="J195">
            <v>192</v>
          </cell>
          <cell r="K195">
            <v>49251</v>
          </cell>
          <cell r="L195">
            <v>30.4</v>
          </cell>
        </row>
        <row r="196">
          <cell r="J196">
            <v>193</v>
          </cell>
          <cell r="K196">
            <v>49281</v>
          </cell>
          <cell r="L196">
            <v>30.4</v>
          </cell>
        </row>
        <row r="197">
          <cell r="J197">
            <v>194</v>
          </cell>
          <cell r="K197">
            <v>49312</v>
          </cell>
          <cell r="L197">
            <v>30.4</v>
          </cell>
        </row>
        <row r="198">
          <cell r="J198">
            <v>195</v>
          </cell>
          <cell r="K198">
            <v>49343</v>
          </cell>
          <cell r="L198">
            <v>30.4</v>
          </cell>
        </row>
        <row r="199">
          <cell r="J199">
            <v>196</v>
          </cell>
          <cell r="K199">
            <v>49371</v>
          </cell>
          <cell r="L199">
            <v>30.4</v>
          </cell>
        </row>
        <row r="200">
          <cell r="J200">
            <v>197</v>
          </cell>
          <cell r="K200">
            <v>49402</v>
          </cell>
          <cell r="L200">
            <v>30.4</v>
          </cell>
        </row>
        <row r="201">
          <cell r="J201">
            <v>198</v>
          </cell>
          <cell r="K201">
            <v>49432</v>
          </cell>
          <cell r="L201">
            <v>30.4</v>
          </cell>
        </row>
        <row r="202">
          <cell r="J202">
            <v>199</v>
          </cell>
          <cell r="K202">
            <v>49463</v>
          </cell>
          <cell r="L202">
            <v>30.4</v>
          </cell>
        </row>
        <row r="203">
          <cell r="J203">
            <v>200</v>
          </cell>
          <cell r="K203">
            <v>49493</v>
          </cell>
          <cell r="L203">
            <v>30.4</v>
          </cell>
        </row>
        <row r="204">
          <cell r="J204">
            <v>201</v>
          </cell>
          <cell r="K204">
            <v>49524</v>
          </cell>
          <cell r="L204">
            <v>30.4</v>
          </cell>
        </row>
        <row r="205">
          <cell r="J205">
            <v>202</v>
          </cell>
          <cell r="K205">
            <v>49555</v>
          </cell>
          <cell r="L205">
            <v>30.4</v>
          </cell>
        </row>
        <row r="206">
          <cell r="J206">
            <v>203</v>
          </cell>
          <cell r="K206">
            <v>49585</v>
          </cell>
          <cell r="L206">
            <v>30.4</v>
          </cell>
        </row>
        <row r="207">
          <cell r="J207">
            <v>204</v>
          </cell>
          <cell r="K207">
            <v>49616</v>
          </cell>
          <cell r="L207">
            <v>30.4</v>
          </cell>
        </row>
        <row r="208">
          <cell r="J208">
            <v>205</v>
          </cell>
          <cell r="K208">
            <v>49646</v>
          </cell>
          <cell r="L208">
            <v>30.4</v>
          </cell>
        </row>
        <row r="209">
          <cell r="J209">
            <v>206</v>
          </cell>
          <cell r="K209">
            <v>49677</v>
          </cell>
          <cell r="L209">
            <v>30.4</v>
          </cell>
        </row>
        <row r="210">
          <cell r="J210">
            <v>207</v>
          </cell>
          <cell r="K210">
            <v>49708</v>
          </cell>
          <cell r="L210">
            <v>30.4</v>
          </cell>
        </row>
        <row r="211">
          <cell r="J211">
            <v>208</v>
          </cell>
          <cell r="K211">
            <v>49737</v>
          </cell>
          <cell r="L211">
            <v>30.4</v>
          </cell>
        </row>
        <row r="212">
          <cell r="J212">
            <v>209</v>
          </cell>
          <cell r="K212">
            <v>49768</v>
          </cell>
          <cell r="L212">
            <v>30.4</v>
          </cell>
        </row>
        <row r="213">
          <cell r="J213">
            <v>210</v>
          </cell>
          <cell r="K213">
            <v>49798</v>
          </cell>
          <cell r="L213">
            <v>30.4</v>
          </cell>
        </row>
        <row r="214">
          <cell r="J214">
            <v>211</v>
          </cell>
          <cell r="K214">
            <v>49829</v>
          </cell>
          <cell r="L214">
            <v>30.4</v>
          </cell>
        </row>
        <row r="215">
          <cell r="J215">
            <v>212</v>
          </cell>
          <cell r="K215">
            <v>49859</v>
          </cell>
          <cell r="L215">
            <v>30.4</v>
          </cell>
        </row>
        <row r="216">
          <cell r="J216">
            <v>213</v>
          </cell>
          <cell r="K216">
            <v>49890</v>
          </cell>
          <cell r="L216">
            <v>30.4</v>
          </cell>
        </row>
        <row r="217">
          <cell r="J217">
            <v>214</v>
          </cell>
          <cell r="K217">
            <v>49921</v>
          </cell>
          <cell r="L217">
            <v>30.4</v>
          </cell>
        </row>
        <row r="218">
          <cell r="J218">
            <v>215</v>
          </cell>
          <cell r="K218">
            <v>49951</v>
          </cell>
          <cell r="L218">
            <v>30.4</v>
          </cell>
        </row>
        <row r="219">
          <cell r="J219">
            <v>216</v>
          </cell>
          <cell r="K219">
            <v>49982</v>
          </cell>
          <cell r="L219">
            <v>30.4</v>
          </cell>
        </row>
        <row r="220">
          <cell r="J220">
            <v>217</v>
          </cell>
          <cell r="K220">
            <v>50012</v>
          </cell>
          <cell r="L220">
            <v>30.4</v>
          </cell>
        </row>
        <row r="221">
          <cell r="J221">
            <v>218</v>
          </cell>
          <cell r="K221">
            <v>50043</v>
          </cell>
          <cell r="L221">
            <v>30.4</v>
          </cell>
        </row>
        <row r="222">
          <cell r="J222">
            <v>219</v>
          </cell>
          <cell r="K222">
            <v>50074</v>
          </cell>
          <cell r="L222">
            <v>30.4</v>
          </cell>
        </row>
        <row r="223">
          <cell r="J223">
            <v>220</v>
          </cell>
          <cell r="K223">
            <v>50102</v>
          </cell>
          <cell r="L223">
            <v>30.4</v>
          </cell>
        </row>
        <row r="224">
          <cell r="J224">
            <v>221</v>
          </cell>
          <cell r="K224">
            <v>50133</v>
          </cell>
          <cell r="L224">
            <v>30.4</v>
          </cell>
        </row>
        <row r="225">
          <cell r="J225">
            <v>222</v>
          </cell>
          <cell r="K225">
            <v>50163</v>
          </cell>
          <cell r="L225">
            <v>30.4</v>
          </cell>
        </row>
        <row r="226">
          <cell r="J226">
            <v>223</v>
          </cell>
          <cell r="K226">
            <v>50194</v>
          </cell>
          <cell r="L226">
            <v>30.4</v>
          </cell>
        </row>
        <row r="227">
          <cell r="J227">
            <v>224</v>
          </cell>
          <cell r="K227">
            <v>50224</v>
          </cell>
          <cell r="L227">
            <v>30.4</v>
          </cell>
        </row>
        <row r="228">
          <cell r="J228">
            <v>225</v>
          </cell>
          <cell r="K228">
            <v>50255</v>
          </cell>
          <cell r="L228">
            <v>30.4</v>
          </cell>
        </row>
        <row r="229">
          <cell r="J229">
            <v>226</v>
          </cell>
          <cell r="K229">
            <v>50286</v>
          </cell>
          <cell r="L229">
            <v>30.4</v>
          </cell>
        </row>
        <row r="230">
          <cell r="J230">
            <v>227</v>
          </cell>
          <cell r="K230">
            <v>50316</v>
          </cell>
          <cell r="L230">
            <v>30.4</v>
          </cell>
        </row>
        <row r="231">
          <cell r="J231">
            <v>228</v>
          </cell>
          <cell r="K231">
            <v>50347</v>
          </cell>
          <cell r="L231">
            <v>30.4</v>
          </cell>
        </row>
        <row r="232">
          <cell r="J232">
            <v>229</v>
          </cell>
          <cell r="K232">
            <v>50377</v>
          </cell>
          <cell r="L232">
            <v>30.4</v>
          </cell>
        </row>
        <row r="233">
          <cell r="J233">
            <v>230</v>
          </cell>
          <cell r="K233">
            <v>50408</v>
          </cell>
          <cell r="L233">
            <v>30.4</v>
          </cell>
        </row>
        <row r="234">
          <cell r="J234">
            <v>231</v>
          </cell>
          <cell r="K234">
            <v>50439</v>
          </cell>
          <cell r="L234">
            <v>30.4</v>
          </cell>
        </row>
        <row r="235">
          <cell r="J235">
            <v>232</v>
          </cell>
          <cell r="K235">
            <v>50467</v>
          </cell>
          <cell r="L235">
            <v>30.4</v>
          </cell>
        </row>
        <row r="236">
          <cell r="J236">
            <v>233</v>
          </cell>
          <cell r="K236">
            <v>50498</v>
          </cell>
          <cell r="L236">
            <v>30.4</v>
          </cell>
        </row>
        <row r="237">
          <cell r="J237">
            <v>234</v>
          </cell>
          <cell r="K237">
            <v>50528</v>
          </cell>
          <cell r="L237">
            <v>30.4</v>
          </cell>
        </row>
        <row r="238">
          <cell r="J238">
            <v>235</v>
          </cell>
          <cell r="K238">
            <v>50559</v>
          </cell>
          <cell r="L238">
            <v>30.4</v>
          </cell>
        </row>
        <row r="239">
          <cell r="J239">
            <v>236</v>
          </cell>
          <cell r="K239">
            <v>50589</v>
          </cell>
          <cell r="L239">
            <v>30.4</v>
          </cell>
        </row>
        <row r="240">
          <cell r="J240">
            <v>237</v>
          </cell>
          <cell r="K240">
            <v>50620</v>
          </cell>
          <cell r="L240">
            <v>30.4</v>
          </cell>
        </row>
        <row r="241">
          <cell r="J241">
            <v>238</v>
          </cell>
          <cell r="K241">
            <v>50651</v>
          </cell>
          <cell r="L241">
            <v>30.4</v>
          </cell>
        </row>
        <row r="242">
          <cell r="J242">
            <v>239</v>
          </cell>
          <cell r="K242">
            <v>50681</v>
          </cell>
          <cell r="L242">
            <v>30.4</v>
          </cell>
        </row>
        <row r="243">
          <cell r="J243">
            <v>240</v>
          </cell>
          <cell r="K243">
            <v>50712</v>
          </cell>
          <cell r="L243">
            <v>30.4</v>
          </cell>
        </row>
        <row r="244">
          <cell r="J244">
            <v>241</v>
          </cell>
          <cell r="K244" t="str">
            <v/>
          </cell>
          <cell r="L244" t="str">
            <v/>
          </cell>
        </row>
        <row r="245">
          <cell r="J245">
            <v>242</v>
          </cell>
          <cell r="K245" t="str">
            <v/>
          </cell>
          <cell r="L245" t="str">
            <v/>
          </cell>
        </row>
        <row r="246">
          <cell r="J246">
            <v>243</v>
          </cell>
          <cell r="K246" t="str">
            <v/>
          </cell>
          <cell r="L246" t="str">
            <v/>
          </cell>
        </row>
        <row r="247">
          <cell r="J247">
            <v>244</v>
          </cell>
          <cell r="K247" t="str">
            <v/>
          </cell>
          <cell r="L247" t="str">
            <v/>
          </cell>
        </row>
        <row r="248">
          <cell r="J248">
            <v>245</v>
          </cell>
          <cell r="K248" t="str">
            <v/>
          </cell>
          <cell r="L248" t="str">
            <v/>
          </cell>
        </row>
        <row r="249">
          <cell r="J249">
            <v>246</v>
          </cell>
          <cell r="K249" t="str">
            <v/>
          </cell>
          <cell r="L249" t="str">
            <v/>
          </cell>
        </row>
        <row r="250">
          <cell r="J250">
            <v>247</v>
          </cell>
          <cell r="K250" t="str">
            <v/>
          </cell>
          <cell r="L250" t="str">
            <v/>
          </cell>
        </row>
        <row r="251">
          <cell r="J251">
            <v>248</v>
          </cell>
          <cell r="K251" t="str">
            <v/>
          </cell>
          <cell r="L251" t="str">
            <v/>
          </cell>
        </row>
        <row r="252">
          <cell r="J252">
            <v>249</v>
          </cell>
          <cell r="K252" t="str">
            <v/>
          </cell>
          <cell r="L252" t="str">
            <v/>
          </cell>
        </row>
        <row r="253">
          <cell r="J253">
            <v>250</v>
          </cell>
          <cell r="K253" t="str">
            <v/>
          </cell>
          <cell r="L253" t="str">
            <v/>
          </cell>
        </row>
        <row r="254">
          <cell r="J254">
            <v>251</v>
          </cell>
          <cell r="K254" t="str">
            <v/>
          </cell>
          <cell r="L254" t="str">
            <v/>
          </cell>
        </row>
        <row r="255">
          <cell r="J255">
            <v>252</v>
          </cell>
          <cell r="K255" t="str">
            <v/>
          </cell>
          <cell r="L255" t="str">
            <v/>
          </cell>
        </row>
        <row r="256">
          <cell r="J256">
            <v>253</v>
          </cell>
          <cell r="K256" t="str">
            <v/>
          </cell>
          <cell r="L256" t="str">
            <v/>
          </cell>
        </row>
        <row r="257">
          <cell r="J257">
            <v>254</v>
          </cell>
          <cell r="K257" t="str">
            <v/>
          </cell>
          <cell r="L257" t="str">
            <v/>
          </cell>
        </row>
        <row r="258">
          <cell r="J258">
            <v>255</v>
          </cell>
          <cell r="K258" t="str">
            <v/>
          </cell>
          <cell r="L258" t="str">
            <v/>
          </cell>
        </row>
        <row r="259">
          <cell r="J259">
            <v>256</v>
          </cell>
          <cell r="K259" t="str">
            <v/>
          </cell>
          <cell r="L259" t="str">
            <v/>
          </cell>
        </row>
        <row r="260">
          <cell r="J260">
            <v>257</v>
          </cell>
          <cell r="K260" t="str">
            <v/>
          </cell>
          <cell r="L260" t="str">
            <v/>
          </cell>
        </row>
        <row r="261">
          <cell r="J261">
            <v>258</v>
          </cell>
          <cell r="K261" t="str">
            <v/>
          </cell>
          <cell r="L261" t="str">
            <v/>
          </cell>
        </row>
        <row r="262">
          <cell r="J262">
            <v>259</v>
          </cell>
          <cell r="K262" t="str">
            <v/>
          </cell>
          <cell r="L262" t="str">
            <v/>
          </cell>
        </row>
        <row r="263">
          <cell r="J263">
            <v>260</v>
          </cell>
          <cell r="K263" t="str">
            <v/>
          </cell>
          <cell r="L263" t="str">
            <v/>
          </cell>
        </row>
        <row r="264">
          <cell r="J264">
            <v>261</v>
          </cell>
          <cell r="K264" t="str">
            <v/>
          </cell>
          <cell r="L264" t="str">
            <v/>
          </cell>
        </row>
        <row r="265">
          <cell r="J265">
            <v>262</v>
          </cell>
          <cell r="K265" t="str">
            <v/>
          </cell>
          <cell r="L265" t="str">
            <v/>
          </cell>
        </row>
        <row r="266">
          <cell r="J266">
            <v>263</v>
          </cell>
          <cell r="K266" t="str">
            <v/>
          </cell>
          <cell r="L266" t="str">
            <v/>
          </cell>
        </row>
        <row r="267">
          <cell r="J267">
            <v>264</v>
          </cell>
          <cell r="K267" t="str">
            <v/>
          </cell>
          <cell r="L267" t="str">
            <v/>
          </cell>
        </row>
        <row r="268">
          <cell r="J268">
            <v>265</v>
          </cell>
          <cell r="K268" t="str">
            <v/>
          </cell>
          <cell r="L268" t="str">
            <v/>
          </cell>
        </row>
        <row r="269">
          <cell r="J269">
            <v>266</v>
          </cell>
          <cell r="K269" t="str">
            <v/>
          </cell>
          <cell r="L269" t="str">
            <v/>
          </cell>
        </row>
        <row r="270">
          <cell r="J270">
            <v>267</v>
          </cell>
          <cell r="K270" t="str">
            <v/>
          </cell>
          <cell r="L270" t="str">
            <v/>
          </cell>
        </row>
        <row r="271">
          <cell r="J271">
            <v>268</v>
          </cell>
          <cell r="K271" t="str">
            <v/>
          </cell>
          <cell r="L271" t="str">
            <v/>
          </cell>
        </row>
        <row r="272">
          <cell r="J272">
            <v>269</v>
          </cell>
          <cell r="K272" t="str">
            <v/>
          </cell>
          <cell r="L272" t="str">
            <v/>
          </cell>
        </row>
        <row r="273">
          <cell r="J273">
            <v>270</v>
          </cell>
          <cell r="K273" t="str">
            <v/>
          </cell>
          <cell r="L273" t="str">
            <v/>
          </cell>
        </row>
        <row r="274">
          <cell r="J274">
            <v>271</v>
          </cell>
          <cell r="K274" t="str">
            <v/>
          </cell>
          <cell r="L274" t="str">
            <v/>
          </cell>
        </row>
        <row r="275">
          <cell r="J275">
            <v>272</v>
          </cell>
          <cell r="K275" t="str">
            <v/>
          </cell>
          <cell r="L275" t="str">
            <v/>
          </cell>
        </row>
        <row r="276">
          <cell r="J276">
            <v>273</v>
          </cell>
          <cell r="K276" t="str">
            <v/>
          </cell>
          <cell r="L276" t="str">
            <v/>
          </cell>
        </row>
        <row r="277">
          <cell r="J277">
            <v>274</v>
          </cell>
          <cell r="K277" t="str">
            <v/>
          </cell>
          <cell r="L277" t="str">
            <v/>
          </cell>
        </row>
        <row r="278">
          <cell r="J278">
            <v>275</v>
          </cell>
          <cell r="K278" t="str">
            <v/>
          </cell>
          <cell r="L278" t="str">
            <v/>
          </cell>
        </row>
        <row r="279">
          <cell r="J279">
            <v>276</v>
          </cell>
          <cell r="K279" t="str">
            <v/>
          </cell>
          <cell r="L279" t="str">
            <v/>
          </cell>
        </row>
        <row r="280">
          <cell r="J280">
            <v>277</v>
          </cell>
          <cell r="K280" t="str">
            <v/>
          </cell>
          <cell r="L280" t="str">
            <v/>
          </cell>
        </row>
        <row r="281">
          <cell r="J281">
            <v>278</v>
          </cell>
          <cell r="K281" t="str">
            <v/>
          </cell>
          <cell r="L281" t="str">
            <v/>
          </cell>
        </row>
        <row r="282">
          <cell r="J282">
            <v>279</v>
          </cell>
          <cell r="K282" t="str">
            <v/>
          </cell>
          <cell r="L282" t="str">
            <v/>
          </cell>
        </row>
        <row r="283">
          <cell r="J283">
            <v>280</v>
          </cell>
          <cell r="K283" t="str">
            <v/>
          </cell>
          <cell r="L283" t="str">
            <v/>
          </cell>
        </row>
        <row r="284">
          <cell r="J284">
            <v>281</v>
          </cell>
          <cell r="K284" t="str">
            <v/>
          </cell>
          <cell r="L284" t="str">
            <v/>
          </cell>
        </row>
        <row r="285">
          <cell r="J285">
            <v>282</v>
          </cell>
          <cell r="K285" t="str">
            <v/>
          </cell>
          <cell r="L285" t="str">
            <v/>
          </cell>
        </row>
        <row r="286">
          <cell r="J286">
            <v>283</v>
          </cell>
          <cell r="K286" t="str">
            <v/>
          </cell>
          <cell r="L286" t="str">
            <v/>
          </cell>
        </row>
        <row r="287">
          <cell r="J287">
            <v>284</v>
          </cell>
          <cell r="K287" t="str">
            <v/>
          </cell>
          <cell r="L287" t="str">
            <v/>
          </cell>
        </row>
        <row r="288">
          <cell r="J288">
            <v>285</v>
          </cell>
          <cell r="K288" t="str">
            <v/>
          </cell>
          <cell r="L288" t="str">
            <v/>
          </cell>
        </row>
        <row r="289">
          <cell r="J289">
            <v>286</v>
          </cell>
          <cell r="K289" t="str">
            <v/>
          </cell>
          <cell r="L289" t="str">
            <v/>
          </cell>
        </row>
        <row r="290">
          <cell r="J290">
            <v>287</v>
          </cell>
          <cell r="K290" t="str">
            <v/>
          </cell>
          <cell r="L290" t="str">
            <v/>
          </cell>
        </row>
        <row r="291">
          <cell r="J291">
            <v>288</v>
          </cell>
          <cell r="K291" t="str">
            <v/>
          </cell>
          <cell r="L291" t="str">
            <v/>
          </cell>
        </row>
        <row r="292">
          <cell r="J292">
            <v>289</v>
          </cell>
          <cell r="K292" t="str">
            <v/>
          </cell>
          <cell r="L292" t="str">
            <v/>
          </cell>
        </row>
        <row r="293">
          <cell r="J293">
            <v>290</v>
          </cell>
          <cell r="K293" t="str">
            <v/>
          </cell>
          <cell r="L293" t="str">
            <v/>
          </cell>
        </row>
        <row r="294">
          <cell r="J294">
            <v>291</v>
          </cell>
          <cell r="K294" t="str">
            <v/>
          </cell>
          <cell r="L294" t="str">
            <v/>
          </cell>
        </row>
        <row r="295">
          <cell r="J295">
            <v>292</v>
          </cell>
          <cell r="K295" t="str">
            <v/>
          </cell>
          <cell r="L295" t="str">
            <v/>
          </cell>
        </row>
        <row r="296">
          <cell r="J296">
            <v>293</v>
          </cell>
          <cell r="K296" t="str">
            <v/>
          </cell>
          <cell r="L296" t="str">
            <v/>
          </cell>
        </row>
        <row r="297">
          <cell r="J297">
            <v>294</v>
          </cell>
          <cell r="K297" t="str">
            <v/>
          </cell>
          <cell r="L297" t="str">
            <v/>
          </cell>
        </row>
        <row r="298">
          <cell r="J298">
            <v>295</v>
          </cell>
          <cell r="K298" t="str">
            <v/>
          </cell>
          <cell r="L298" t="str">
            <v/>
          </cell>
        </row>
        <row r="299">
          <cell r="J299">
            <v>296</v>
          </cell>
          <cell r="K299" t="str">
            <v/>
          </cell>
          <cell r="L299" t="str">
            <v/>
          </cell>
        </row>
        <row r="300">
          <cell r="J300">
            <v>297</v>
          </cell>
          <cell r="K300" t="str">
            <v/>
          </cell>
          <cell r="L300" t="str">
            <v/>
          </cell>
        </row>
        <row r="301">
          <cell r="J301">
            <v>298</v>
          </cell>
          <cell r="K301" t="str">
            <v/>
          </cell>
          <cell r="L301" t="str">
            <v/>
          </cell>
        </row>
        <row r="302">
          <cell r="J302">
            <v>299</v>
          </cell>
          <cell r="K302" t="str">
            <v/>
          </cell>
          <cell r="L302" t="str">
            <v/>
          </cell>
        </row>
        <row r="303">
          <cell r="J303">
            <v>300</v>
          </cell>
          <cell r="K303" t="str">
            <v/>
          </cell>
          <cell r="L303" t="str">
            <v/>
          </cell>
        </row>
        <row r="304">
          <cell r="J304">
            <v>301</v>
          </cell>
          <cell r="K304" t="str">
            <v/>
          </cell>
          <cell r="L304" t="str">
            <v/>
          </cell>
        </row>
        <row r="305">
          <cell r="J305">
            <v>302</v>
          </cell>
          <cell r="K305" t="str">
            <v/>
          </cell>
          <cell r="L305" t="str">
            <v/>
          </cell>
        </row>
        <row r="306">
          <cell r="J306">
            <v>303</v>
          </cell>
          <cell r="K306" t="str">
            <v/>
          </cell>
          <cell r="L306" t="str">
            <v/>
          </cell>
        </row>
        <row r="307">
          <cell r="J307">
            <v>304</v>
          </cell>
          <cell r="K307" t="str">
            <v/>
          </cell>
          <cell r="L307" t="str">
            <v/>
          </cell>
        </row>
        <row r="308">
          <cell r="J308">
            <v>305</v>
          </cell>
          <cell r="K308" t="str">
            <v/>
          </cell>
          <cell r="L308" t="str">
            <v/>
          </cell>
        </row>
        <row r="309">
          <cell r="J309">
            <v>306</v>
          </cell>
          <cell r="K309" t="str">
            <v/>
          </cell>
          <cell r="L309" t="str">
            <v/>
          </cell>
        </row>
        <row r="310">
          <cell r="J310">
            <v>307</v>
          </cell>
          <cell r="K310" t="str">
            <v/>
          </cell>
          <cell r="L310" t="str">
            <v/>
          </cell>
        </row>
        <row r="311">
          <cell r="J311">
            <v>308</v>
          </cell>
          <cell r="K311" t="str">
            <v/>
          </cell>
          <cell r="L311" t="str">
            <v/>
          </cell>
        </row>
        <row r="312">
          <cell r="J312">
            <v>309</v>
          </cell>
          <cell r="K312" t="str">
            <v/>
          </cell>
          <cell r="L312" t="str">
            <v/>
          </cell>
        </row>
        <row r="313">
          <cell r="J313">
            <v>310</v>
          </cell>
          <cell r="K313" t="str">
            <v/>
          </cell>
          <cell r="L313" t="str">
            <v/>
          </cell>
        </row>
        <row r="314">
          <cell r="J314">
            <v>311</v>
          </cell>
          <cell r="K314" t="str">
            <v/>
          </cell>
          <cell r="L314" t="str">
            <v/>
          </cell>
        </row>
        <row r="315">
          <cell r="J315">
            <v>312</v>
          </cell>
          <cell r="K315" t="str">
            <v/>
          </cell>
          <cell r="L315" t="str">
            <v/>
          </cell>
        </row>
        <row r="316">
          <cell r="J316">
            <v>313</v>
          </cell>
          <cell r="K316" t="str">
            <v/>
          </cell>
          <cell r="L316" t="str">
            <v/>
          </cell>
        </row>
        <row r="317">
          <cell r="J317">
            <v>314</v>
          </cell>
          <cell r="K317" t="str">
            <v/>
          </cell>
          <cell r="L317" t="str">
            <v/>
          </cell>
        </row>
        <row r="318">
          <cell r="J318">
            <v>315</v>
          </cell>
          <cell r="K318" t="str">
            <v/>
          </cell>
          <cell r="L318" t="str">
            <v/>
          </cell>
        </row>
        <row r="319">
          <cell r="J319">
            <v>316</v>
          </cell>
          <cell r="K319" t="str">
            <v/>
          </cell>
          <cell r="L319" t="str">
            <v/>
          </cell>
        </row>
        <row r="320">
          <cell r="J320">
            <v>317</v>
          </cell>
          <cell r="K320" t="str">
            <v/>
          </cell>
          <cell r="L320" t="str">
            <v/>
          </cell>
        </row>
        <row r="321">
          <cell r="J321">
            <v>318</v>
          </cell>
          <cell r="K321" t="str">
            <v/>
          </cell>
          <cell r="L321" t="str">
            <v/>
          </cell>
        </row>
        <row r="322">
          <cell r="J322">
            <v>319</v>
          </cell>
          <cell r="K322" t="str">
            <v/>
          </cell>
          <cell r="L322" t="str">
            <v/>
          </cell>
        </row>
        <row r="323">
          <cell r="J323">
            <v>320</v>
          </cell>
          <cell r="K323" t="str">
            <v/>
          </cell>
          <cell r="L323" t="str">
            <v/>
          </cell>
        </row>
        <row r="324">
          <cell r="J324">
            <v>321</v>
          </cell>
          <cell r="K324" t="str">
            <v/>
          </cell>
          <cell r="L324" t="str">
            <v/>
          </cell>
        </row>
        <row r="325">
          <cell r="J325">
            <v>322</v>
          </cell>
          <cell r="K325" t="str">
            <v/>
          </cell>
          <cell r="L325" t="str">
            <v/>
          </cell>
        </row>
        <row r="326">
          <cell r="J326">
            <v>323</v>
          </cell>
          <cell r="K326" t="str">
            <v/>
          </cell>
          <cell r="L326" t="str">
            <v/>
          </cell>
        </row>
        <row r="327">
          <cell r="J327">
            <v>324</v>
          </cell>
          <cell r="K327" t="str">
            <v/>
          </cell>
          <cell r="L327" t="str">
            <v/>
          </cell>
        </row>
        <row r="328">
          <cell r="J328">
            <v>325</v>
          </cell>
          <cell r="K328" t="str">
            <v/>
          </cell>
          <cell r="L328" t="str">
            <v/>
          </cell>
        </row>
        <row r="329">
          <cell r="J329">
            <v>326</v>
          </cell>
          <cell r="K329" t="str">
            <v/>
          </cell>
          <cell r="L329" t="str">
            <v/>
          </cell>
        </row>
        <row r="330">
          <cell r="J330">
            <v>327</v>
          </cell>
          <cell r="K330" t="str">
            <v/>
          </cell>
          <cell r="L330" t="str">
            <v/>
          </cell>
        </row>
        <row r="331">
          <cell r="J331">
            <v>328</v>
          </cell>
          <cell r="K331" t="str">
            <v/>
          </cell>
          <cell r="L331" t="str">
            <v/>
          </cell>
        </row>
        <row r="332">
          <cell r="J332">
            <v>329</v>
          </cell>
          <cell r="K332" t="str">
            <v/>
          </cell>
          <cell r="L332" t="str">
            <v/>
          </cell>
        </row>
        <row r="333">
          <cell r="J333">
            <v>330</v>
          </cell>
          <cell r="K333" t="str">
            <v/>
          </cell>
          <cell r="L333" t="str">
            <v/>
          </cell>
        </row>
        <row r="334">
          <cell r="J334">
            <v>331</v>
          </cell>
          <cell r="K334" t="str">
            <v/>
          </cell>
          <cell r="L334" t="str">
            <v/>
          </cell>
        </row>
        <row r="335">
          <cell r="J335">
            <v>332</v>
          </cell>
          <cell r="K335" t="str">
            <v/>
          </cell>
          <cell r="L335" t="str">
            <v/>
          </cell>
        </row>
        <row r="336">
          <cell r="J336">
            <v>333</v>
          </cell>
          <cell r="K336" t="str">
            <v/>
          </cell>
          <cell r="L336" t="str">
            <v/>
          </cell>
        </row>
        <row r="337">
          <cell r="J337">
            <v>334</v>
          </cell>
          <cell r="K337" t="str">
            <v/>
          </cell>
          <cell r="L337" t="str">
            <v/>
          </cell>
        </row>
        <row r="338">
          <cell r="J338">
            <v>335</v>
          </cell>
          <cell r="K338" t="str">
            <v/>
          </cell>
          <cell r="L338" t="str">
            <v/>
          </cell>
        </row>
        <row r="339">
          <cell r="J339">
            <v>336</v>
          </cell>
          <cell r="K339" t="str">
            <v/>
          </cell>
          <cell r="L339" t="str">
            <v/>
          </cell>
        </row>
        <row r="340">
          <cell r="J340">
            <v>337</v>
          </cell>
          <cell r="K340" t="str">
            <v/>
          </cell>
          <cell r="L340" t="str">
            <v/>
          </cell>
        </row>
        <row r="341">
          <cell r="J341">
            <v>338</v>
          </cell>
          <cell r="K341" t="str">
            <v/>
          </cell>
          <cell r="L341" t="str">
            <v/>
          </cell>
        </row>
        <row r="342">
          <cell r="J342">
            <v>339</v>
          </cell>
          <cell r="K342" t="str">
            <v/>
          </cell>
          <cell r="L342" t="str">
            <v/>
          </cell>
        </row>
        <row r="343">
          <cell r="J343">
            <v>340</v>
          </cell>
          <cell r="K343" t="str">
            <v/>
          </cell>
          <cell r="L343" t="str">
            <v/>
          </cell>
        </row>
        <row r="344">
          <cell r="J344">
            <v>341</v>
          </cell>
          <cell r="K344" t="str">
            <v/>
          </cell>
          <cell r="L344" t="str">
            <v/>
          </cell>
        </row>
        <row r="345">
          <cell r="J345">
            <v>342</v>
          </cell>
          <cell r="K345" t="str">
            <v/>
          </cell>
          <cell r="L345" t="str">
            <v/>
          </cell>
        </row>
        <row r="346">
          <cell r="J346">
            <v>343</v>
          </cell>
          <cell r="K346" t="str">
            <v/>
          </cell>
          <cell r="L346" t="str">
            <v/>
          </cell>
        </row>
        <row r="347">
          <cell r="J347">
            <v>344</v>
          </cell>
          <cell r="K347" t="str">
            <v/>
          </cell>
          <cell r="L347" t="str">
            <v/>
          </cell>
        </row>
        <row r="348">
          <cell r="J348">
            <v>345</v>
          </cell>
          <cell r="K348" t="str">
            <v/>
          </cell>
          <cell r="L348" t="str">
            <v/>
          </cell>
        </row>
        <row r="349">
          <cell r="J349">
            <v>346</v>
          </cell>
          <cell r="K349" t="str">
            <v/>
          </cell>
          <cell r="L349" t="str">
            <v/>
          </cell>
        </row>
        <row r="350">
          <cell r="J350">
            <v>347</v>
          </cell>
          <cell r="K350" t="str">
            <v/>
          </cell>
          <cell r="L350" t="str">
            <v/>
          </cell>
        </row>
        <row r="351">
          <cell r="J351">
            <v>348</v>
          </cell>
          <cell r="K351" t="str">
            <v/>
          </cell>
          <cell r="L351" t="str">
            <v/>
          </cell>
        </row>
        <row r="352">
          <cell r="J352">
            <v>349</v>
          </cell>
          <cell r="K352" t="str">
            <v/>
          </cell>
          <cell r="L352" t="str">
            <v/>
          </cell>
        </row>
        <row r="353">
          <cell r="J353">
            <v>350</v>
          </cell>
          <cell r="K353" t="str">
            <v/>
          </cell>
          <cell r="L353" t="str">
            <v/>
          </cell>
        </row>
        <row r="354">
          <cell r="J354">
            <v>351</v>
          </cell>
          <cell r="K354" t="str">
            <v/>
          </cell>
          <cell r="L354" t="str">
            <v/>
          </cell>
        </row>
        <row r="355">
          <cell r="J355">
            <v>352</v>
          </cell>
          <cell r="K355" t="str">
            <v/>
          </cell>
          <cell r="L355" t="str">
            <v/>
          </cell>
        </row>
        <row r="356">
          <cell r="J356">
            <v>353</v>
          </cell>
          <cell r="K356" t="str">
            <v/>
          </cell>
          <cell r="L356" t="str">
            <v/>
          </cell>
        </row>
        <row r="357">
          <cell r="J357">
            <v>354</v>
          </cell>
          <cell r="K357" t="str">
            <v/>
          </cell>
          <cell r="L357" t="str">
            <v/>
          </cell>
        </row>
        <row r="358">
          <cell r="J358">
            <v>355</v>
          </cell>
          <cell r="K358" t="str">
            <v/>
          </cell>
          <cell r="L358" t="str">
            <v/>
          </cell>
        </row>
        <row r="359">
          <cell r="J359">
            <v>356</v>
          </cell>
          <cell r="K359" t="str">
            <v/>
          </cell>
          <cell r="L359" t="str">
            <v/>
          </cell>
        </row>
        <row r="360">
          <cell r="J360">
            <v>357</v>
          </cell>
          <cell r="K360" t="str">
            <v/>
          </cell>
          <cell r="L360" t="str">
            <v/>
          </cell>
        </row>
        <row r="361">
          <cell r="J361">
            <v>358</v>
          </cell>
          <cell r="K361" t="str">
            <v/>
          </cell>
          <cell r="L361" t="str">
            <v/>
          </cell>
        </row>
        <row r="362">
          <cell r="J362">
            <v>359</v>
          </cell>
          <cell r="K362" t="str">
            <v/>
          </cell>
          <cell r="L362" t="str">
            <v/>
          </cell>
        </row>
        <row r="363">
          <cell r="J363">
            <v>360</v>
          </cell>
          <cell r="K363" t="str">
            <v/>
          </cell>
          <cell r="L363" t="str">
            <v/>
          </cell>
        </row>
      </sheetData>
      <sheetData sheetId="42" refreshError="1">
        <row r="4">
          <cell r="I4" t="str">
            <v>0.20 %</v>
          </cell>
        </row>
      </sheetData>
      <sheetData sheetId="43" refreshError="1">
        <row r="8">
          <cell r="A8">
            <v>1</v>
          </cell>
          <cell r="B8">
            <v>2</v>
          </cell>
        </row>
        <row r="18">
          <cell r="G18">
            <v>0</v>
          </cell>
          <cell r="H18">
            <v>-295400.04220000003</v>
          </cell>
        </row>
        <row r="19">
          <cell r="B19">
            <v>14000.002</v>
          </cell>
          <cell r="D19">
            <v>16240.00232</v>
          </cell>
          <cell r="G19">
            <v>0</v>
          </cell>
          <cell r="H19">
            <v>-16240.00232</v>
          </cell>
        </row>
        <row r="20">
          <cell r="B20">
            <v>646.55172413793105</v>
          </cell>
          <cell r="G20">
            <v>0</v>
          </cell>
          <cell r="H20">
            <v>-750</v>
          </cell>
        </row>
        <row r="21">
          <cell r="B21">
            <v>65000.01</v>
          </cell>
          <cell r="D21">
            <v>65000.01</v>
          </cell>
          <cell r="G21">
            <v>0</v>
          </cell>
        </row>
        <row r="22">
          <cell r="G22">
            <v>0</v>
          </cell>
        </row>
      </sheetData>
      <sheetData sheetId="44" refreshError="1">
        <row r="6">
          <cell r="B6">
            <v>20</v>
          </cell>
        </row>
        <row r="14">
          <cell r="B14">
            <v>295400.04220000003</v>
          </cell>
        </row>
        <row r="15">
          <cell r="B15">
            <v>4.2200000000000001E-2</v>
          </cell>
        </row>
        <row r="16">
          <cell r="B16" t="str">
            <v>Oaxaca</v>
          </cell>
        </row>
        <row r="17">
          <cell r="B17" t="str">
            <v>* Los gastos notariales pueden variar dependiendo de la ubicación geográfica y del valor de la vivienda. El valor definitivo será informado por el Notario a la firma del contrato.</v>
          </cell>
        </row>
        <row r="18">
          <cell r="B18" t="str">
            <v>Valor estimado para Oaxaca del 4.22 % del valor avalúo aproximado. El valor definitivo será informado por el Notario a la firma de contrato.</v>
          </cell>
        </row>
        <row r="19">
          <cell r="B19" t="str">
            <v>Gastos Notariales</v>
          </cell>
        </row>
        <row r="20">
          <cell r="B20" t="str">
            <v>Gastos, derechos y honorarios notariales</v>
          </cell>
        </row>
        <row r="21">
          <cell r="B21" t="b">
            <v>0</v>
          </cell>
        </row>
        <row r="22">
          <cell r="B22" t="str">
            <v/>
          </cell>
        </row>
      </sheetData>
      <sheetData sheetId="45" refreshError="1"/>
      <sheetData sheetId="46" refreshError="1"/>
      <sheetData sheetId="47" refreshError="1">
        <row r="4">
          <cell r="A4">
            <v>1</v>
          </cell>
        </row>
        <row r="5">
          <cell r="A5">
            <v>1</v>
          </cell>
        </row>
        <row r="6">
          <cell r="A6">
            <v>2</v>
          </cell>
        </row>
        <row r="9">
          <cell r="B9" t="str">
            <v>No Frontera</v>
          </cell>
        </row>
        <row r="10">
          <cell r="B10">
            <v>0.12</v>
          </cell>
        </row>
        <row r="11">
          <cell r="B11">
            <v>0.16</v>
          </cell>
        </row>
        <row r="17">
          <cell r="B17">
            <v>6</v>
          </cell>
          <cell r="E17">
            <v>2</v>
          </cell>
        </row>
        <row r="18">
          <cell r="B18">
            <v>5</v>
          </cell>
          <cell r="E18">
            <v>7</v>
          </cell>
        </row>
        <row r="20">
          <cell r="B20" t="b">
            <v>0</v>
          </cell>
          <cell r="E20" t="b">
            <v>0</v>
          </cell>
        </row>
        <row r="23">
          <cell r="D23">
            <v>1</v>
          </cell>
          <cell r="E23">
            <v>2</v>
          </cell>
        </row>
        <row r="24">
          <cell r="F24">
            <v>1</v>
          </cell>
        </row>
        <row r="25">
          <cell r="F25">
            <v>2</v>
          </cell>
        </row>
        <row r="27">
          <cell r="E27" t="b">
            <v>0</v>
          </cell>
        </row>
        <row r="28">
          <cell r="B28" t="b">
            <v>0</v>
          </cell>
          <cell r="E28" t="b">
            <v>0</v>
          </cell>
        </row>
        <row r="30">
          <cell r="B30" t="b">
            <v>0</v>
          </cell>
        </row>
        <row r="32">
          <cell r="B32">
            <v>1</v>
          </cell>
        </row>
      </sheetData>
      <sheetData sheetId="48" refreshError="1"/>
      <sheetData sheetId="49" refreshError="1">
        <row r="1">
          <cell r="A1">
            <v>10</v>
          </cell>
          <cell r="B1">
            <v>10</v>
          </cell>
          <cell r="C1">
            <v>10.3</v>
          </cell>
          <cell r="D1">
            <v>9.1</v>
          </cell>
        </row>
        <row r="2">
          <cell r="A2">
            <v>8.8000000000000007</v>
          </cell>
          <cell r="B2">
            <v>8.8000000000000007</v>
          </cell>
          <cell r="C2">
            <v>9.33</v>
          </cell>
          <cell r="D2">
            <v>7.85</v>
          </cell>
        </row>
        <row r="3">
          <cell r="A3">
            <v>11.14</v>
          </cell>
        </row>
        <row r="4">
          <cell r="A4">
            <v>11.14</v>
          </cell>
        </row>
        <row r="5">
          <cell r="A5">
            <v>9.9400000000000013</v>
          </cell>
        </row>
        <row r="6">
          <cell r="A6">
            <v>9.9400000000000013</v>
          </cell>
        </row>
        <row r="7">
          <cell r="A7">
            <v>2.01E-2</v>
          </cell>
          <cell r="B7">
            <v>2.01E-2</v>
          </cell>
          <cell r="C7">
            <v>2.0299999999999999E-2</v>
          </cell>
          <cell r="D7">
            <v>2.7799999999999998E-2</v>
          </cell>
        </row>
        <row r="8">
          <cell r="A8">
            <v>2.0299999999999999E-2</v>
          </cell>
          <cell r="B8">
            <v>2.0299999999999999E-2</v>
          </cell>
          <cell r="C8">
            <v>1.72E-2</v>
          </cell>
          <cell r="D8">
            <v>2.8400000000000002E-2</v>
          </cell>
        </row>
        <row r="9">
          <cell r="A9">
            <v>9.9400000000000013</v>
          </cell>
        </row>
        <row r="10">
          <cell r="B10">
            <v>35</v>
          </cell>
          <cell r="C10">
            <v>35</v>
          </cell>
          <cell r="D10">
            <v>35</v>
          </cell>
        </row>
      </sheetData>
      <sheetData sheetId="50" refreshError="1">
        <row r="1">
          <cell r="A1">
            <v>1</v>
          </cell>
          <cell r="B1" t="str">
            <v>Reduce Plazo y Pago</v>
          </cell>
          <cell r="C1">
            <v>1</v>
          </cell>
        </row>
        <row r="2">
          <cell r="E2">
            <v>1</v>
          </cell>
        </row>
        <row r="4">
          <cell r="E4">
            <v>3</v>
          </cell>
        </row>
        <row r="7">
          <cell r="B7" t="str">
            <v>Reduce Plazo</v>
          </cell>
          <cell r="C7" t="str">
            <v>Reduce Plazo</v>
          </cell>
          <cell r="D7" t="str">
            <v>Reduce Plazo y Pago</v>
          </cell>
          <cell r="E7" t="str">
            <v>Reduce Plazo</v>
          </cell>
        </row>
        <row r="8">
          <cell r="B8" t="e">
            <v>#REF!</v>
          </cell>
          <cell r="C8" t="e">
            <v>#REF!</v>
          </cell>
          <cell r="D8" t="str">
            <v>Reduce Pago</v>
          </cell>
          <cell r="E8" t="e">
            <v>#REF!</v>
          </cell>
        </row>
        <row r="9">
          <cell r="B9" t="e">
            <v>#REF!</v>
          </cell>
          <cell r="C9" t="e">
            <v>#REF!</v>
          </cell>
          <cell r="D9" t="str">
            <v>Reduce Plazo</v>
          </cell>
          <cell r="E9" t="e">
            <v>#REF!</v>
          </cell>
        </row>
        <row r="12">
          <cell r="B12" t="str">
            <v>Reduce Plazo y Pago</v>
          </cell>
        </row>
        <row r="13">
          <cell r="B13" t="str">
            <v>Reduce Pago</v>
          </cell>
        </row>
        <row r="14">
          <cell r="B14" t="str">
            <v>Reduce Plazo</v>
          </cell>
        </row>
        <row r="17">
          <cell r="B17" t="str">
            <v>Reduce Plazo y Pago</v>
          </cell>
          <cell r="C17" t="str">
            <v>Reduce Plazo y Pago</v>
          </cell>
          <cell r="D17" t="str">
            <v>Reduce Plazo y Pago</v>
          </cell>
          <cell r="E17" t="str">
            <v>Reduce Plazo y Pago</v>
          </cell>
          <cell r="F17" t="str">
            <v>Reduce Plazo y Pago</v>
          </cell>
          <cell r="G17" t="str">
            <v>Reduce Plazo y Pago</v>
          </cell>
          <cell r="H17" t="str">
            <v>Reduce Plazo y Pago</v>
          </cell>
        </row>
        <row r="18">
          <cell r="B18" t="str">
            <v>Reduce Pago</v>
          </cell>
          <cell r="C18" t="str">
            <v>Reduce Pago</v>
          </cell>
          <cell r="D18" t="str">
            <v>Reduce Pago</v>
          </cell>
          <cell r="E18" t="str">
            <v>Reduce Pago</v>
          </cell>
          <cell r="F18" t="str">
            <v>Reduce Pago</v>
          </cell>
          <cell r="G18" t="str">
            <v>Reduce Pago</v>
          </cell>
          <cell r="H18" t="str">
            <v>Reduce Pago</v>
          </cell>
        </row>
        <row r="19">
          <cell r="B19" t="str">
            <v>Reduce Plazo</v>
          </cell>
          <cell r="C19" t="str">
            <v>Reduce Plazo</v>
          </cell>
          <cell r="D19" t="str">
            <v>Reduce Plazo</v>
          </cell>
          <cell r="E19" t="str">
            <v>Reduce Plazo</v>
          </cell>
          <cell r="F19" t="str">
            <v>Reduce Plazo</v>
          </cell>
          <cell r="G19" t="str">
            <v>Reduce Plazo</v>
          </cell>
          <cell r="H19" t="str">
            <v>Reduce Plazo</v>
          </cell>
        </row>
        <row r="22">
          <cell r="B22" t="str">
            <v>Reduce Plazo y Pago</v>
          </cell>
          <cell r="C22" t="str">
            <v>Reduce Plazo y Pago</v>
          </cell>
          <cell r="D22" t="str">
            <v>Reduce Plazo y Pago</v>
          </cell>
          <cell r="E22" t="str">
            <v>Reduce Plazo y Pago</v>
          </cell>
          <cell r="F22" t="str">
            <v>Reduce Plazo y Pago</v>
          </cell>
          <cell r="G22" t="str">
            <v>Reduce Plazo y Pago</v>
          </cell>
          <cell r="H22" t="str">
            <v>Reduce Plazo y Pago</v>
          </cell>
        </row>
        <row r="23">
          <cell r="B23" t="str">
            <v>Reduce Pago</v>
          </cell>
          <cell r="C23" t="str">
            <v>Reduce Pago</v>
          </cell>
          <cell r="D23" t="str">
            <v>Reduce Pago</v>
          </cell>
          <cell r="E23" t="str">
            <v>Reduce Pago</v>
          </cell>
          <cell r="F23" t="str">
            <v>Reduce Pago</v>
          </cell>
          <cell r="G23" t="str">
            <v>Reduce Pago</v>
          </cell>
          <cell r="H23" t="str">
            <v>Reduce Pago</v>
          </cell>
        </row>
        <row r="24">
          <cell r="B24" t="str">
            <v>Reduce Plazo</v>
          </cell>
          <cell r="C24" t="str">
            <v>Reduce Plazo</v>
          </cell>
          <cell r="D24" t="str">
            <v>Reduce Plazo</v>
          </cell>
          <cell r="E24" t="str">
            <v>Reduce Plazo</v>
          </cell>
          <cell r="F24" t="str">
            <v>Reduce Plazo</v>
          </cell>
          <cell r="G24" t="str">
            <v>Reduce Plazo</v>
          </cell>
          <cell r="H24" t="str">
            <v>Reduce Plazo</v>
          </cell>
        </row>
        <row r="27">
          <cell r="B27" t="str">
            <v>Reduce Plazo y Pago</v>
          </cell>
          <cell r="C27" t="str">
            <v>Reduce Plazo y Pago</v>
          </cell>
          <cell r="D27" t="str">
            <v>Reduce Plazo y Pago</v>
          </cell>
          <cell r="E27" t="str">
            <v>Reduce Plazo y Pago</v>
          </cell>
          <cell r="F27" t="str">
            <v>Reduce Plazo y Pago</v>
          </cell>
          <cell r="G27" t="str">
            <v>Reduce Plazo y Pago</v>
          </cell>
          <cell r="H27" t="str">
            <v>Reduce Plazo y Pago</v>
          </cell>
        </row>
        <row r="28">
          <cell r="B28" t="str">
            <v>Reduce Pago</v>
          </cell>
          <cell r="C28" t="str">
            <v>Reduce Pago</v>
          </cell>
          <cell r="D28" t="str">
            <v>Reduce Pago</v>
          </cell>
          <cell r="E28" t="str">
            <v>Reduce Pago</v>
          </cell>
          <cell r="F28" t="str">
            <v>Reduce Plazo</v>
          </cell>
          <cell r="G28" t="str">
            <v>Reduce Pago</v>
          </cell>
          <cell r="H28" t="str">
            <v>Reduce Pago</v>
          </cell>
        </row>
        <row r="29">
          <cell r="B29" t="str">
            <v>Reduce Plazo</v>
          </cell>
          <cell r="C29" t="str">
            <v>Reduce Plazo</v>
          </cell>
          <cell r="D29" t="str">
            <v>Reduce Plazo</v>
          </cell>
          <cell r="E29" t="str">
            <v>Reduce Plazo</v>
          </cell>
          <cell r="G29" t="str">
            <v>Reduce Plazo</v>
          </cell>
          <cell r="H29" t="str">
            <v>Reduce Plazo</v>
          </cell>
        </row>
        <row r="32">
          <cell r="B32" t="str">
            <v>Reduce Plazo</v>
          </cell>
          <cell r="C32" t="str">
            <v>Reduce Plazo</v>
          </cell>
          <cell r="D32" t="str">
            <v>Reduce Plazo</v>
          </cell>
          <cell r="E32" t="str">
            <v>Reduce Plazo</v>
          </cell>
        </row>
        <row r="34">
          <cell r="D34">
            <v>1</v>
          </cell>
        </row>
      </sheetData>
      <sheetData sheetId="51" refreshError="1">
        <row r="4">
          <cell r="A4">
            <v>1</v>
          </cell>
          <cell r="B4">
            <v>1</v>
          </cell>
          <cell r="C4" t="str">
            <v>Hipoteca Fuerte</v>
          </cell>
          <cell r="D4" t="str">
            <v>A</v>
          </cell>
          <cell r="E4">
            <v>0</v>
          </cell>
          <cell r="F4">
            <v>0</v>
          </cell>
          <cell r="G4" t="b">
            <v>1</v>
          </cell>
          <cell r="H4">
            <v>9.8500000000000004E-2</v>
          </cell>
        </row>
        <row r="5">
          <cell r="B5" t="str">
            <v>Id</v>
          </cell>
          <cell r="C5" t="str">
            <v>Descripción</v>
          </cell>
          <cell r="D5" t="str">
            <v>Código</v>
          </cell>
          <cell r="E5" t="str">
            <v>Pagos Crecientes?</v>
          </cell>
          <cell r="F5" t="str">
            <v>Tasa Interés</v>
          </cell>
          <cell r="G5" t="str">
            <v>Multitasa?</v>
          </cell>
          <cell r="H5" t="str">
            <v>Tasa Final</v>
          </cell>
        </row>
        <row r="6">
          <cell r="B6">
            <v>0</v>
          </cell>
          <cell r="C6" t="str">
            <v>Sin Selección</v>
          </cell>
          <cell r="D6" t="str">
            <v>00</v>
          </cell>
          <cell r="E6">
            <v>0</v>
          </cell>
          <cell r="F6">
            <v>0</v>
          </cell>
          <cell r="G6">
            <v>0</v>
          </cell>
          <cell r="H6">
            <v>0</v>
          </cell>
        </row>
        <row r="7">
          <cell r="B7">
            <v>1</v>
          </cell>
          <cell r="C7" t="str">
            <v>Hipoteca Fuerte</v>
          </cell>
          <cell r="D7" t="str">
            <v>A</v>
          </cell>
          <cell r="E7">
            <v>0</v>
          </cell>
          <cell r="F7">
            <v>0</v>
          </cell>
          <cell r="G7" t="b">
            <v>1</v>
          </cell>
          <cell r="H7">
            <v>9.8500000000000004E-2</v>
          </cell>
        </row>
        <row r="8">
          <cell r="B8">
            <v>5</v>
          </cell>
          <cell r="C8" t="str">
            <v>Hipoteca Más por Menos</v>
          </cell>
          <cell r="D8" t="str">
            <v>E</v>
          </cell>
          <cell r="E8" t="b">
            <v>1</v>
          </cell>
          <cell r="F8">
            <v>0.1125</v>
          </cell>
          <cell r="G8">
            <v>0</v>
          </cell>
          <cell r="H8">
            <v>0</v>
          </cell>
        </row>
        <row r="10">
          <cell r="B10">
            <v>2</v>
          </cell>
        </row>
        <row r="11">
          <cell r="B11">
            <v>3</v>
          </cell>
        </row>
        <row r="12">
          <cell r="B12">
            <v>4</v>
          </cell>
        </row>
        <row r="13">
          <cell r="B13">
            <v>6</v>
          </cell>
        </row>
      </sheetData>
      <sheetData sheetId="52" refreshError="1"/>
      <sheetData sheetId="53" refreshError="1"/>
      <sheetData sheetId="54" refreshError="1">
        <row r="5">
          <cell r="L5">
            <v>16</v>
          </cell>
        </row>
        <row r="9">
          <cell r="G9">
            <v>60</v>
          </cell>
          <cell r="J9">
            <v>16</v>
          </cell>
        </row>
        <row r="10">
          <cell r="G10">
            <v>72</v>
          </cell>
          <cell r="J10">
            <v>240</v>
          </cell>
        </row>
        <row r="11">
          <cell r="G11">
            <v>84</v>
          </cell>
        </row>
        <row r="12">
          <cell r="G12">
            <v>96</v>
          </cell>
        </row>
        <row r="13">
          <cell r="G13">
            <v>108</v>
          </cell>
          <cell r="J13">
            <v>240</v>
          </cell>
        </row>
        <row r="14">
          <cell r="G14">
            <v>120</v>
          </cell>
        </row>
        <row r="15">
          <cell r="G15">
            <v>132</v>
          </cell>
        </row>
        <row r="16">
          <cell r="G16">
            <v>144</v>
          </cell>
          <cell r="J16">
            <v>240</v>
          </cell>
        </row>
        <row r="17">
          <cell r="G17">
            <v>156</v>
          </cell>
          <cell r="J17">
            <v>20</v>
          </cell>
        </row>
        <row r="18">
          <cell r="G18">
            <v>168</v>
          </cell>
        </row>
        <row r="19">
          <cell r="G19">
            <v>180</v>
          </cell>
          <cell r="J19">
            <v>0</v>
          </cell>
        </row>
        <row r="20">
          <cell r="G20">
            <v>192</v>
          </cell>
          <cell r="J20" t="str">
            <v/>
          </cell>
        </row>
        <row r="21">
          <cell r="G21">
            <v>204</v>
          </cell>
          <cell r="J21" t="str">
            <v>20</v>
          </cell>
        </row>
        <row r="22">
          <cell r="G22">
            <v>216</v>
          </cell>
        </row>
        <row r="23">
          <cell r="G23">
            <v>228</v>
          </cell>
          <cell r="J23" t="str">
            <v>20 años ( 240 meses )</v>
          </cell>
        </row>
        <row r="24">
          <cell r="G24">
            <v>240</v>
          </cell>
        </row>
      </sheetData>
      <sheetData sheetId="55" refreshError="1">
        <row r="3">
          <cell r="B3">
            <v>1000000</v>
          </cell>
        </row>
        <row r="4">
          <cell r="B4">
            <v>7000000</v>
          </cell>
        </row>
        <row r="5">
          <cell r="B5">
            <v>0.93</v>
          </cell>
        </row>
      </sheetData>
      <sheetData sheetId="56" refreshError="1">
        <row r="3">
          <cell r="D3">
            <v>6500001</v>
          </cell>
          <cell r="E3">
            <v>0.92857143877550874</v>
          </cell>
          <cell r="F3" t="str">
            <v>* Sólo para Hipoteca Más por Menos: La tasa de interés es de 11.25% del mes 1 al 37, de 11.50% del mes 38 al 73, de 11.75% del mes 74 en adelante.</v>
          </cell>
          <cell r="O3" t="str">
            <v/>
          </cell>
        </row>
        <row r="4">
          <cell r="D4">
            <v>500000</v>
          </cell>
          <cell r="E4">
            <v>7.142856122449126E-2</v>
          </cell>
        </row>
        <row r="7">
          <cell r="D7">
            <v>372900.05220000003</v>
          </cell>
        </row>
        <row r="8">
          <cell r="D8">
            <v>6500001</v>
          </cell>
        </row>
      </sheetData>
      <sheetData sheetId="57" refreshError="1"/>
      <sheetData sheetId="58" refreshError="1"/>
      <sheetData sheetId="59" refreshError="1"/>
      <sheetData sheetId="60" refreshError="1"/>
      <sheetData sheetId="61" refreshError="1"/>
      <sheetData sheetId="62" refreshError="1"/>
      <sheetData sheetId="63" refreshError="1">
        <row r="4">
          <cell r="S4">
            <v>7120.5954000000002</v>
          </cell>
          <cell r="T4">
            <v>7120.5954000000002</v>
          </cell>
          <cell r="U4">
            <v>7120.5954000000002</v>
          </cell>
        </row>
        <row r="5">
          <cell r="S5">
            <v>7188.2411000000002</v>
          </cell>
          <cell r="T5">
            <v>7188.2411000000002</v>
          </cell>
          <cell r="U5">
            <v>7188.2411000000002</v>
          </cell>
        </row>
        <row r="6">
          <cell r="S6">
            <v>7256.5294000000004</v>
          </cell>
          <cell r="T6">
            <v>7256.5293000000001</v>
          </cell>
          <cell r="U6">
            <v>7256.5294000000004</v>
          </cell>
        </row>
        <row r="7">
          <cell r="S7">
            <v>7325.4664000000002</v>
          </cell>
          <cell r="T7">
            <v>7325.4664000000002</v>
          </cell>
          <cell r="U7">
            <v>7325.4664000000002</v>
          </cell>
        </row>
        <row r="8">
          <cell r="S8">
            <v>7395.0582999999997</v>
          </cell>
          <cell r="T8">
            <v>7395.0582999999997</v>
          </cell>
          <cell r="U8">
            <v>7395.0582999999997</v>
          </cell>
        </row>
        <row r="9">
          <cell r="S9">
            <v>7465.3113999999996</v>
          </cell>
          <cell r="T9">
            <v>7465.3113999999996</v>
          </cell>
          <cell r="U9">
            <v>7465.3113999999996</v>
          </cell>
        </row>
        <row r="10">
          <cell r="S10">
            <v>7536.2317999999996</v>
          </cell>
          <cell r="T10">
            <v>7536.2317999999996</v>
          </cell>
          <cell r="U10">
            <v>7536.2317999999996</v>
          </cell>
        </row>
        <row r="11">
          <cell r="S11">
            <v>7607.826</v>
          </cell>
          <cell r="T11">
            <v>7607.826</v>
          </cell>
          <cell r="U11">
            <v>7607.826</v>
          </cell>
        </row>
        <row r="12">
          <cell r="S12">
            <v>7680.1004000000003</v>
          </cell>
          <cell r="T12">
            <v>7680.1004000000003</v>
          </cell>
          <cell r="U12">
            <v>7680.1004000000003</v>
          </cell>
        </row>
        <row r="13">
          <cell r="S13">
            <v>7753.0613000000003</v>
          </cell>
          <cell r="T13">
            <v>7753.0613000000003</v>
          </cell>
          <cell r="U13">
            <v>7753.0613000000003</v>
          </cell>
        </row>
        <row r="14">
          <cell r="S14">
            <v>7826.7154</v>
          </cell>
          <cell r="T14">
            <v>7826.7154</v>
          </cell>
          <cell r="U14">
            <v>7826.7154</v>
          </cell>
        </row>
        <row r="15">
          <cell r="S15">
            <v>7901.0691999999999</v>
          </cell>
          <cell r="T15">
            <v>7901.0691999999999</v>
          </cell>
          <cell r="U15">
            <v>7901.0691999999999</v>
          </cell>
        </row>
        <row r="16">
          <cell r="S16">
            <v>7976.1293999999998</v>
          </cell>
          <cell r="T16">
            <v>8180.6306999999997</v>
          </cell>
          <cell r="U16">
            <v>7976.1293999999998</v>
          </cell>
        </row>
        <row r="17">
          <cell r="S17">
            <v>8051.9026000000003</v>
          </cell>
          <cell r="T17">
            <v>8257.2289000000001</v>
          </cell>
          <cell r="U17">
            <v>8051.9026000000003</v>
          </cell>
        </row>
        <row r="18">
          <cell r="S18">
            <v>8128.3957</v>
          </cell>
          <cell r="T18">
            <v>8334.5455999999995</v>
          </cell>
          <cell r="U18">
            <v>8128.3957</v>
          </cell>
        </row>
        <row r="19">
          <cell r="S19">
            <v>8205.6154000000006</v>
          </cell>
          <cell r="T19">
            <v>8412.5877</v>
          </cell>
          <cell r="U19">
            <v>8205.6154000000006</v>
          </cell>
        </row>
        <row r="20">
          <cell r="S20">
            <v>8283.5687999999991</v>
          </cell>
          <cell r="T20">
            <v>8491.3621000000003</v>
          </cell>
          <cell r="U20">
            <v>8283.5687999999991</v>
          </cell>
        </row>
        <row r="21">
          <cell r="S21">
            <v>8362.2626999999993</v>
          </cell>
          <cell r="T21">
            <v>8570.8755000000001</v>
          </cell>
          <cell r="U21">
            <v>8362.2626999999993</v>
          </cell>
        </row>
        <row r="22">
          <cell r="S22">
            <v>8441.7042000000001</v>
          </cell>
          <cell r="T22">
            <v>8651.1350000000002</v>
          </cell>
          <cell r="U22">
            <v>8441.7042000000001</v>
          </cell>
        </row>
        <row r="23">
          <cell r="S23">
            <v>8521.9004000000004</v>
          </cell>
          <cell r="T23">
            <v>8732.1476000000002</v>
          </cell>
          <cell r="U23">
            <v>8521.9004000000004</v>
          </cell>
        </row>
        <row r="24">
          <cell r="S24">
            <v>8602.8583999999992</v>
          </cell>
          <cell r="T24">
            <v>8813.9204000000009</v>
          </cell>
          <cell r="U24">
            <v>8602.8583999999992</v>
          </cell>
        </row>
        <row r="25">
          <cell r="S25">
            <v>8684.5856000000003</v>
          </cell>
          <cell r="T25">
            <v>8896.4603999999999</v>
          </cell>
          <cell r="U25">
            <v>8684.5856000000003</v>
          </cell>
        </row>
        <row r="26">
          <cell r="S26">
            <v>8767.0890999999992</v>
          </cell>
          <cell r="T26">
            <v>8979.7751000000007</v>
          </cell>
          <cell r="U26">
            <v>8767.0890999999992</v>
          </cell>
        </row>
        <row r="27">
          <cell r="S27">
            <v>8850.3765000000003</v>
          </cell>
          <cell r="T27">
            <v>9063.8714999999993</v>
          </cell>
          <cell r="U27">
            <v>8850.3765000000003</v>
          </cell>
        </row>
        <row r="28">
          <cell r="S28">
            <v>8934.4550999999992</v>
          </cell>
          <cell r="T28">
            <v>9367.3930999999993</v>
          </cell>
          <cell r="U28">
            <v>8934.4550999999992</v>
          </cell>
        </row>
        <row r="29">
          <cell r="S29">
            <v>9019.3323999999993</v>
          </cell>
          <cell r="T29">
            <v>9453.8688999999995</v>
          </cell>
          <cell r="U29">
            <v>9019.3323999999993</v>
          </cell>
        </row>
        <row r="30">
          <cell r="S30">
            <v>9105.0161000000007</v>
          </cell>
          <cell r="T30">
            <v>9541.1463000000003</v>
          </cell>
          <cell r="U30">
            <v>9105.0161000000007</v>
          </cell>
        </row>
        <row r="31">
          <cell r="S31">
            <v>9191.5136999999995</v>
          </cell>
          <cell r="T31">
            <v>9629.2329000000009</v>
          </cell>
          <cell r="U31">
            <v>9191.5136999999995</v>
          </cell>
        </row>
        <row r="32">
          <cell r="S32">
            <v>9278.8330999999998</v>
          </cell>
          <cell r="T32">
            <v>9718.1363000000001</v>
          </cell>
          <cell r="U32">
            <v>9278.8330999999998</v>
          </cell>
        </row>
        <row r="33">
          <cell r="S33">
            <v>9366.982</v>
          </cell>
          <cell r="T33">
            <v>9807.8639000000003</v>
          </cell>
          <cell r="U33">
            <v>9366.982</v>
          </cell>
        </row>
        <row r="34">
          <cell r="S34">
            <v>9455.9683000000005</v>
          </cell>
          <cell r="T34">
            <v>9898.4235000000008</v>
          </cell>
          <cell r="U34">
            <v>9455.9683000000005</v>
          </cell>
        </row>
        <row r="35">
          <cell r="S35">
            <v>9545.7999999999993</v>
          </cell>
          <cell r="T35">
            <v>9989.8228999999992</v>
          </cell>
          <cell r="U35">
            <v>9545.7999999999993</v>
          </cell>
        </row>
        <row r="36">
          <cell r="S36">
            <v>9636.4850999999999</v>
          </cell>
          <cell r="T36">
            <v>10082.069799999999</v>
          </cell>
          <cell r="U36">
            <v>9636.4850999999999</v>
          </cell>
        </row>
        <row r="37">
          <cell r="S37">
            <v>9728.0316999999995</v>
          </cell>
          <cell r="T37">
            <v>10175.1723</v>
          </cell>
          <cell r="U37">
            <v>9728.0316999999995</v>
          </cell>
        </row>
        <row r="38">
          <cell r="S38">
            <v>9820.4480000000003</v>
          </cell>
          <cell r="T38">
            <v>10269.138199999999</v>
          </cell>
          <cell r="U38">
            <v>9820.4480000000003</v>
          </cell>
        </row>
        <row r="39">
          <cell r="S39">
            <v>9913.7422999999999</v>
          </cell>
          <cell r="T39">
            <v>10363.9756</v>
          </cell>
          <cell r="U39">
            <v>9913.7422999999999</v>
          </cell>
        </row>
        <row r="40">
          <cell r="S40">
            <v>10007.9228</v>
          </cell>
          <cell r="T40">
            <v>10691.9092</v>
          </cell>
          <cell r="U40">
            <v>10007.9228</v>
          </cell>
        </row>
        <row r="41">
          <cell r="S41">
            <v>10102.998100000001</v>
          </cell>
          <cell r="T41">
            <v>10789.258099999999</v>
          </cell>
          <cell r="U41">
            <v>10102.998100000001</v>
          </cell>
        </row>
        <row r="42">
          <cell r="S42">
            <v>10198.9766</v>
          </cell>
          <cell r="T42">
            <v>10887.499299999999</v>
          </cell>
          <cell r="U42">
            <v>10198.9766</v>
          </cell>
        </row>
        <row r="43">
          <cell r="S43">
            <v>10295.866900000001</v>
          </cell>
          <cell r="T43">
            <v>10986.641</v>
          </cell>
          <cell r="U43">
            <v>10295.866900000001</v>
          </cell>
        </row>
        <row r="44">
          <cell r="S44">
            <v>10393.677600000001</v>
          </cell>
          <cell r="T44">
            <v>11086.691699999999</v>
          </cell>
          <cell r="U44">
            <v>10393.677600000001</v>
          </cell>
        </row>
        <row r="45">
          <cell r="S45">
            <v>10492.4175</v>
          </cell>
          <cell r="T45">
            <v>11187.659799999999</v>
          </cell>
          <cell r="U45">
            <v>10492.4175</v>
          </cell>
        </row>
        <row r="46">
          <cell r="S46">
            <v>10592.095499999999</v>
          </cell>
          <cell r="T46">
            <v>11289.553599999999</v>
          </cell>
          <cell r="U46">
            <v>10592.095499999999</v>
          </cell>
        </row>
        <row r="47">
          <cell r="S47">
            <v>10692.7204</v>
          </cell>
          <cell r="T47">
            <v>11392.3817</v>
          </cell>
          <cell r="U47">
            <v>10692.7204</v>
          </cell>
        </row>
        <row r="48">
          <cell r="S48">
            <v>10794.301299999999</v>
          </cell>
          <cell r="T48">
            <v>11496.152899999999</v>
          </cell>
          <cell r="U48">
            <v>10794.301299999999</v>
          </cell>
        </row>
        <row r="49">
          <cell r="S49">
            <v>10896.847100000001</v>
          </cell>
          <cell r="T49">
            <v>11600.875899999999</v>
          </cell>
          <cell r="U49">
            <v>10896.847100000001</v>
          </cell>
        </row>
        <row r="50">
          <cell r="S50">
            <v>11000.367200000001</v>
          </cell>
          <cell r="T50">
            <v>11706.5594</v>
          </cell>
          <cell r="U50">
            <v>11000.367200000001</v>
          </cell>
        </row>
        <row r="51">
          <cell r="S51">
            <v>11104.870699999999</v>
          </cell>
          <cell r="T51">
            <v>11813.2124</v>
          </cell>
          <cell r="U51">
            <v>11104.870699999999</v>
          </cell>
        </row>
        <row r="52">
          <cell r="S52">
            <v>11210.366900000001</v>
          </cell>
          <cell r="T52">
            <v>12165.810299999999</v>
          </cell>
          <cell r="U52">
            <v>11210.366900000001</v>
          </cell>
        </row>
        <row r="53">
          <cell r="S53">
            <v>11316.865400000001</v>
          </cell>
          <cell r="T53">
            <v>12275.102699999999</v>
          </cell>
          <cell r="U53">
            <v>11316.865400000001</v>
          </cell>
        </row>
        <row r="54">
          <cell r="S54">
            <v>11424.375599999999</v>
          </cell>
          <cell r="T54">
            <v>12385.3863</v>
          </cell>
          <cell r="U54">
            <v>11424.375599999999</v>
          </cell>
        </row>
        <row r="55">
          <cell r="S55">
            <v>11532.9072</v>
          </cell>
          <cell r="T55">
            <v>12496.6703</v>
          </cell>
          <cell r="U55">
            <v>11532.9072</v>
          </cell>
        </row>
        <row r="56">
          <cell r="S56">
            <v>11642.469800000001</v>
          </cell>
          <cell r="T56">
            <v>12608.9637</v>
          </cell>
          <cell r="U56">
            <v>11642.469800000001</v>
          </cell>
        </row>
        <row r="57">
          <cell r="S57">
            <v>11753.0733</v>
          </cell>
          <cell r="T57">
            <v>12722.275900000001</v>
          </cell>
          <cell r="U57">
            <v>11753.0733</v>
          </cell>
        </row>
        <row r="58">
          <cell r="S58">
            <v>11864.727500000001</v>
          </cell>
          <cell r="T58">
            <v>12836.6162</v>
          </cell>
          <cell r="U58">
            <v>11864.727500000001</v>
          </cell>
        </row>
        <row r="59">
          <cell r="S59">
            <v>11977.4424</v>
          </cell>
          <cell r="T59">
            <v>12951.994199999999</v>
          </cell>
          <cell r="U59">
            <v>11977.4424</v>
          </cell>
        </row>
        <row r="60">
          <cell r="S60">
            <v>12091.2281</v>
          </cell>
          <cell r="T60">
            <v>13068.4193</v>
          </cell>
          <cell r="U60">
            <v>12091.2281</v>
          </cell>
        </row>
        <row r="61">
          <cell r="S61">
            <v>12206.094800000001</v>
          </cell>
          <cell r="T61">
            <v>13185.901</v>
          </cell>
          <cell r="U61">
            <v>12206.094800000001</v>
          </cell>
        </row>
        <row r="62">
          <cell r="S62">
            <v>12322.0527</v>
          </cell>
          <cell r="T62">
            <v>13304.449199999999</v>
          </cell>
          <cell r="U62">
            <v>12322.0527</v>
          </cell>
        </row>
        <row r="63">
          <cell r="S63">
            <v>12439.1122</v>
          </cell>
          <cell r="T63">
            <v>13424.073700000001</v>
          </cell>
          <cell r="U63">
            <v>12439.1122</v>
          </cell>
        </row>
        <row r="64">
          <cell r="S64">
            <v>12557.2837</v>
          </cell>
          <cell r="T64">
            <v>13801.368399999999</v>
          </cell>
          <cell r="U64">
            <v>12557.2837</v>
          </cell>
        </row>
        <row r="65">
          <cell r="S65">
            <v>12676.5779</v>
          </cell>
          <cell r="T65">
            <v>13923.755300000001</v>
          </cell>
          <cell r="U65">
            <v>12676.5779</v>
          </cell>
        </row>
        <row r="66">
          <cell r="S66">
            <v>12797.0054</v>
          </cell>
          <cell r="T66">
            <v>14047.241400000001</v>
          </cell>
          <cell r="U66">
            <v>12797.0054</v>
          </cell>
        </row>
        <row r="67">
          <cell r="S67">
            <v>12918.576999999999</v>
          </cell>
          <cell r="T67">
            <v>14171.836300000001</v>
          </cell>
          <cell r="U67">
            <v>12918.576999999999</v>
          </cell>
        </row>
        <row r="68">
          <cell r="S68">
            <v>13041.3035</v>
          </cell>
          <cell r="T68">
            <v>14297.550499999999</v>
          </cell>
          <cell r="U68">
            <v>13041.303400000001</v>
          </cell>
        </row>
        <row r="69">
          <cell r="S69">
            <v>13165.1958</v>
          </cell>
          <cell r="T69">
            <v>14424.394</v>
          </cell>
          <cell r="U69">
            <v>13165.1958</v>
          </cell>
        </row>
        <row r="70">
          <cell r="S70">
            <v>13290.2652</v>
          </cell>
          <cell r="T70">
            <v>14552.3773</v>
          </cell>
          <cell r="U70">
            <v>13290.2652</v>
          </cell>
        </row>
        <row r="71">
          <cell r="S71">
            <v>13416.5227</v>
          </cell>
          <cell r="T71">
            <v>14681.5105</v>
          </cell>
          <cell r="U71">
            <v>13416.5227</v>
          </cell>
        </row>
        <row r="72">
          <cell r="S72">
            <v>13543.9797</v>
          </cell>
          <cell r="T72">
            <v>14811.804400000001</v>
          </cell>
          <cell r="U72">
            <v>13543.9797</v>
          </cell>
        </row>
        <row r="73">
          <cell r="S73">
            <v>13672.647499999999</v>
          </cell>
          <cell r="T73">
            <v>14943.2695</v>
          </cell>
          <cell r="U73">
            <v>13672.647499999999</v>
          </cell>
        </row>
        <row r="74">
          <cell r="S74">
            <v>13802.5376</v>
          </cell>
          <cell r="T74">
            <v>15075.9164</v>
          </cell>
          <cell r="U74">
            <v>13802.5376</v>
          </cell>
        </row>
        <row r="75">
          <cell r="S75">
            <v>13933.661700000001</v>
          </cell>
          <cell r="T75">
            <v>15209.756100000001</v>
          </cell>
          <cell r="U75">
            <v>13933.661700000001</v>
          </cell>
        </row>
        <row r="76">
          <cell r="S76">
            <v>14066.031499999999</v>
          </cell>
          <cell r="T76">
            <v>15611.540199999999</v>
          </cell>
          <cell r="U76">
            <v>14066.031499999999</v>
          </cell>
        </row>
        <row r="77">
          <cell r="S77">
            <v>14199.658799999999</v>
          </cell>
          <cell r="T77">
            <v>15748.2595</v>
          </cell>
          <cell r="U77">
            <v>14199.658799999999</v>
          </cell>
        </row>
        <row r="78">
          <cell r="S78">
            <v>14334.5556</v>
          </cell>
          <cell r="T78">
            <v>15886.1952</v>
          </cell>
          <cell r="U78">
            <v>14334.5556</v>
          </cell>
        </row>
        <row r="79">
          <cell r="S79">
            <v>14470.733899999999</v>
          </cell>
          <cell r="T79">
            <v>16025.358399999999</v>
          </cell>
          <cell r="U79">
            <v>14470.733899999999</v>
          </cell>
        </row>
        <row r="80">
          <cell r="S80">
            <v>14608.2058</v>
          </cell>
          <cell r="T80">
            <v>16165.760200000001</v>
          </cell>
          <cell r="U80">
            <v>14608.2058</v>
          </cell>
        </row>
        <row r="81">
          <cell r="S81">
            <v>14746.9838</v>
          </cell>
          <cell r="T81">
            <v>16307.4118</v>
          </cell>
          <cell r="U81">
            <v>14746.9838</v>
          </cell>
        </row>
        <row r="82">
          <cell r="S82">
            <v>14887.080099999999</v>
          </cell>
          <cell r="T82">
            <v>16450.324799999999</v>
          </cell>
          <cell r="U82">
            <v>14887.080099999999</v>
          </cell>
        </row>
        <row r="83">
          <cell r="S83">
            <v>15028.5074</v>
          </cell>
          <cell r="T83">
            <v>16594.510200000001</v>
          </cell>
          <cell r="U83">
            <v>15028.5074</v>
          </cell>
        </row>
        <row r="84">
          <cell r="S84">
            <v>15171.278200000001</v>
          </cell>
          <cell r="T84">
            <v>16739.980100000001</v>
          </cell>
          <cell r="U84">
            <v>15171.278200000001</v>
          </cell>
        </row>
        <row r="85">
          <cell r="S85">
            <v>15315.4054</v>
          </cell>
          <cell r="T85">
            <v>16886.745800000001</v>
          </cell>
          <cell r="U85">
            <v>15315.4054</v>
          </cell>
        </row>
        <row r="86">
          <cell r="S86">
            <v>15460.9017</v>
          </cell>
          <cell r="T86">
            <v>17034.819</v>
          </cell>
          <cell r="U86">
            <v>15460.9017</v>
          </cell>
        </row>
        <row r="87">
          <cell r="S87">
            <v>15607.7803</v>
          </cell>
          <cell r="T87">
            <v>17184.211899999998</v>
          </cell>
          <cell r="U87">
            <v>15607.7803</v>
          </cell>
        </row>
        <row r="88">
          <cell r="S88">
            <v>15756.0542</v>
          </cell>
          <cell r="T88">
            <v>17610.018400000001</v>
          </cell>
          <cell r="U88">
            <v>15756.0542</v>
          </cell>
        </row>
        <row r="89">
          <cell r="S89">
            <v>15905.736699999999</v>
          </cell>
          <cell r="T89">
            <v>17762.401300000001</v>
          </cell>
          <cell r="U89">
            <v>15905.736699999999</v>
          </cell>
        </row>
        <row r="90">
          <cell r="S90">
            <v>16056.841200000001</v>
          </cell>
          <cell r="T90">
            <v>17916.128499999999</v>
          </cell>
          <cell r="U90">
            <v>16056.841200000001</v>
          </cell>
        </row>
        <row r="91">
          <cell r="S91">
            <v>16209.3812</v>
          </cell>
          <cell r="T91">
            <v>18071.212100000001</v>
          </cell>
          <cell r="U91">
            <v>16209.3812</v>
          </cell>
        </row>
        <row r="92">
          <cell r="S92">
            <v>16363.3703</v>
          </cell>
          <cell r="T92">
            <v>18227.664499999999</v>
          </cell>
          <cell r="U92">
            <v>16363.3703</v>
          </cell>
        </row>
        <row r="93">
          <cell r="S93">
            <v>16518.8223</v>
          </cell>
          <cell r="T93">
            <v>18385.498100000001</v>
          </cell>
          <cell r="U93">
            <v>16518.8223</v>
          </cell>
        </row>
        <row r="94">
          <cell r="S94">
            <v>16675.751199999999</v>
          </cell>
          <cell r="T94">
            <v>18544.725200000001</v>
          </cell>
          <cell r="U94">
            <v>16675.751100000001</v>
          </cell>
        </row>
        <row r="95">
          <cell r="S95">
            <v>16834.1708</v>
          </cell>
          <cell r="T95">
            <v>18705.3586</v>
          </cell>
          <cell r="U95">
            <v>16834.1708</v>
          </cell>
        </row>
        <row r="96">
          <cell r="S96">
            <v>16994.095399999998</v>
          </cell>
          <cell r="T96">
            <v>18867.410800000001</v>
          </cell>
          <cell r="U96">
            <v>16994.095399999998</v>
          </cell>
        </row>
        <row r="97">
          <cell r="S97">
            <v>17155.5393</v>
          </cell>
          <cell r="T97">
            <v>19030.894700000001</v>
          </cell>
          <cell r="U97">
            <v>17155.5393</v>
          </cell>
        </row>
        <row r="98">
          <cell r="S98">
            <v>17318.516899999999</v>
          </cell>
          <cell r="T98">
            <v>19195.823400000001</v>
          </cell>
          <cell r="U98">
            <v>17318.516899999999</v>
          </cell>
        </row>
        <row r="99">
          <cell r="S99">
            <v>17483.0429</v>
          </cell>
          <cell r="T99">
            <v>19362.209699999999</v>
          </cell>
          <cell r="U99">
            <v>17483.042799999999</v>
          </cell>
        </row>
        <row r="100">
          <cell r="S100">
            <v>17649.131799999999</v>
          </cell>
          <cell r="T100">
            <v>19530.0671</v>
          </cell>
          <cell r="U100">
            <v>17649.131799999999</v>
          </cell>
        </row>
        <row r="101">
          <cell r="S101">
            <v>17816.798500000001</v>
          </cell>
          <cell r="T101">
            <v>19699.4087</v>
          </cell>
          <cell r="U101">
            <v>17816.798500000001</v>
          </cell>
        </row>
        <row r="102">
          <cell r="S102">
            <v>17986.058099999998</v>
          </cell>
          <cell r="T102">
            <v>19870.247899999998</v>
          </cell>
          <cell r="U102">
            <v>17986.058099999998</v>
          </cell>
        </row>
        <row r="103">
          <cell r="S103">
            <v>18156.925599999999</v>
          </cell>
          <cell r="T103">
            <v>20042.598399999999</v>
          </cell>
          <cell r="U103">
            <v>18156.925599999999</v>
          </cell>
        </row>
        <row r="104">
          <cell r="S104">
            <v>18329.416399999998</v>
          </cell>
          <cell r="T104">
            <v>20216.4738</v>
          </cell>
          <cell r="U104">
            <v>18329.416399999998</v>
          </cell>
        </row>
        <row r="105">
          <cell r="S105">
            <v>18503.545900000001</v>
          </cell>
          <cell r="T105">
            <v>20391.8881</v>
          </cell>
          <cell r="U105">
            <v>18503.545900000001</v>
          </cell>
        </row>
        <row r="106">
          <cell r="S106">
            <v>18679.329600000001</v>
          </cell>
          <cell r="T106">
            <v>20568.854899999998</v>
          </cell>
          <cell r="U106">
            <v>18679.329600000001</v>
          </cell>
        </row>
        <row r="107">
          <cell r="S107">
            <v>18856.783200000002</v>
          </cell>
          <cell r="T107">
            <v>20747.388599999998</v>
          </cell>
          <cell r="U107">
            <v>18856.783200000002</v>
          </cell>
        </row>
        <row r="108">
          <cell r="S108">
            <v>19035.922699999999</v>
          </cell>
          <cell r="T108">
            <v>20927.503100000002</v>
          </cell>
          <cell r="U108">
            <v>19035.922699999999</v>
          </cell>
        </row>
        <row r="109">
          <cell r="S109">
            <v>19216.763900000002</v>
          </cell>
          <cell r="T109">
            <v>21109.213</v>
          </cell>
          <cell r="U109">
            <v>19216.763900000002</v>
          </cell>
        </row>
        <row r="110">
          <cell r="S110">
            <v>19399.323199999999</v>
          </cell>
          <cell r="T110">
            <v>21292.532599999999</v>
          </cell>
          <cell r="U110">
            <v>19399.323199999999</v>
          </cell>
        </row>
        <row r="111">
          <cell r="S111">
            <v>19583.616699999999</v>
          </cell>
          <cell r="T111">
            <v>21477.476600000002</v>
          </cell>
          <cell r="U111">
            <v>19583.616699999999</v>
          </cell>
        </row>
        <row r="112">
          <cell r="S112">
            <v>19769.661100000001</v>
          </cell>
          <cell r="T112">
            <v>21664.059700000002</v>
          </cell>
          <cell r="U112">
            <v>19769.661100000001</v>
          </cell>
        </row>
        <row r="113">
          <cell r="S113">
            <v>19957.472900000001</v>
          </cell>
          <cell r="T113">
            <v>21852.296600000001</v>
          </cell>
          <cell r="U113">
            <v>19957.472900000001</v>
          </cell>
        </row>
        <row r="114">
          <cell r="S114">
            <v>20147.068899999998</v>
          </cell>
          <cell r="T114">
            <v>22042.202600000001</v>
          </cell>
          <cell r="U114">
            <v>20147.068899999998</v>
          </cell>
        </row>
        <row r="115">
          <cell r="S115">
            <v>20338.466</v>
          </cell>
          <cell r="T115">
            <v>22233.792799999999</v>
          </cell>
          <cell r="U115">
            <v>20338.466</v>
          </cell>
        </row>
        <row r="116">
          <cell r="S116">
            <v>20531.681499999999</v>
          </cell>
          <cell r="T116">
            <v>22427.082299999998</v>
          </cell>
          <cell r="U116">
            <v>20531.681499999999</v>
          </cell>
        </row>
        <row r="117">
          <cell r="S117">
            <v>20726.732400000001</v>
          </cell>
          <cell r="T117">
            <v>22622.0867</v>
          </cell>
          <cell r="U117">
            <v>20726.732400000001</v>
          </cell>
        </row>
        <row r="118">
          <cell r="S118">
            <v>20923.636399999999</v>
          </cell>
          <cell r="T118">
            <v>22818.821499999998</v>
          </cell>
          <cell r="U118">
            <v>20923.636399999999</v>
          </cell>
        </row>
        <row r="119">
          <cell r="S119">
            <v>21122.410899999999</v>
          </cell>
          <cell r="T119">
            <v>23017.302500000002</v>
          </cell>
          <cell r="U119">
            <v>21122.410899999999</v>
          </cell>
        </row>
        <row r="120">
          <cell r="S120">
            <v>21323.073799999998</v>
          </cell>
          <cell r="T120">
            <v>23217.545399999999</v>
          </cell>
          <cell r="U120">
            <v>21323.073799999998</v>
          </cell>
        </row>
        <row r="121">
          <cell r="S121">
            <v>21525.643</v>
          </cell>
          <cell r="T121">
            <v>23419.5664</v>
          </cell>
          <cell r="U121">
            <v>21525.643</v>
          </cell>
        </row>
        <row r="122">
          <cell r="S122">
            <v>21730.136699999999</v>
          </cell>
          <cell r="T122">
            <v>23623.3815</v>
          </cell>
          <cell r="U122">
            <v>21730.136600000002</v>
          </cell>
        </row>
        <row r="123">
          <cell r="S123">
            <v>21936.573</v>
          </cell>
          <cell r="T123">
            <v>23829.007300000001</v>
          </cell>
          <cell r="U123">
            <v>21936.572899999999</v>
          </cell>
        </row>
        <row r="124">
          <cell r="S124">
            <v>22144.970399999998</v>
          </cell>
          <cell r="T124">
            <v>24036.459900000002</v>
          </cell>
          <cell r="U124">
            <v>22144.970399999998</v>
          </cell>
        </row>
        <row r="125">
          <cell r="S125">
            <v>22355.347600000001</v>
          </cell>
          <cell r="T125">
            <v>24245.756099999999</v>
          </cell>
          <cell r="U125">
            <v>22355.347600000001</v>
          </cell>
        </row>
        <row r="126">
          <cell r="S126">
            <v>22567.723399999999</v>
          </cell>
          <cell r="T126">
            <v>24456.912700000001</v>
          </cell>
          <cell r="U126">
            <v>22567.723399999999</v>
          </cell>
        </row>
        <row r="127">
          <cell r="S127">
            <v>22782.1168</v>
          </cell>
          <cell r="T127">
            <v>24669.946599999999</v>
          </cell>
          <cell r="U127">
            <v>22782.1168</v>
          </cell>
        </row>
        <row r="128">
          <cell r="S128">
            <v>22998.546900000001</v>
          </cell>
          <cell r="T128">
            <v>24884.874899999999</v>
          </cell>
          <cell r="U128">
            <v>22998.546900000001</v>
          </cell>
        </row>
        <row r="129">
          <cell r="S129">
            <v>23217.033100000001</v>
          </cell>
          <cell r="T129">
            <v>25101.7147</v>
          </cell>
          <cell r="U129">
            <v>23217.033100000001</v>
          </cell>
        </row>
        <row r="130">
          <cell r="S130">
            <v>23437.5949</v>
          </cell>
          <cell r="T130">
            <v>25320.4836</v>
          </cell>
          <cell r="U130">
            <v>23437.5949</v>
          </cell>
        </row>
        <row r="131">
          <cell r="S131">
            <v>23660.252100000002</v>
          </cell>
          <cell r="T131">
            <v>25541.199100000002</v>
          </cell>
          <cell r="U131">
            <v>23660.252100000002</v>
          </cell>
        </row>
        <row r="132">
          <cell r="S132">
            <v>23885.0245</v>
          </cell>
          <cell r="T132">
            <v>25763.879000000001</v>
          </cell>
          <cell r="U132">
            <v>23885.0245</v>
          </cell>
        </row>
        <row r="133">
          <cell r="S133">
            <v>24111.932199999999</v>
          </cell>
          <cell r="T133">
            <v>25988.541000000001</v>
          </cell>
          <cell r="U133">
            <v>24111.932199999999</v>
          </cell>
        </row>
        <row r="134">
          <cell r="S134">
            <v>24340.995500000001</v>
          </cell>
          <cell r="T134">
            <v>26215.203399999999</v>
          </cell>
          <cell r="U134">
            <v>24340.995500000001</v>
          </cell>
        </row>
        <row r="135">
          <cell r="S135">
            <v>24572.235000000001</v>
          </cell>
          <cell r="T135">
            <v>26443.884300000002</v>
          </cell>
          <cell r="U135">
            <v>24572.235000000001</v>
          </cell>
        </row>
        <row r="136">
          <cell r="S136">
            <v>24805.671200000001</v>
          </cell>
          <cell r="T136">
            <v>26674.602200000001</v>
          </cell>
          <cell r="U136">
            <v>24805.671200000001</v>
          </cell>
        </row>
        <row r="137">
          <cell r="S137">
            <v>25041.325099999998</v>
          </cell>
          <cell r="T137">
            <v>26907.375499999998</v>
          </cell>
          <cell r="U137">
            <v>25041.325099999998</v>
          </cell>
        </row>
        <row r="138">
          <cell r="S138">
            <v>25279.217700000001</v>
          </cell>
          <cell r="T138">
            <v>27142.223099999999</v>
          </cell>
          <cell r="U138">
            <v>25279.217700000001</v>
          </cell>
        </row>
        <row r="139">
          <cell r="S139">
            <v>25519.370299999999</v>
          </cell>
          <cell r="T139">
            <v>27379.1639</v>
          </cell>
          <cell r="U139">
            <v>25519.370299999999</v>
          </cell>
        </row>
        <row r="140">
          <cell r="S140">
            <v>25761.8043</v>
          </cell>
          <cell r="T140">
            <v>27618.217000000001</v>
          </cell>
          <cell r="U140">
            <v>25761.8043</v>
          </cell>
        </row>
        <row r="141">
          <cell r="S141">
            <v>26006.541399999998</v>
          </cell>
          <cell r="T141">
            <v>27859.401600000001</v>
          </cell>
          <cell r="U141">
            <v>26006.541399999998</v>
          </cell>
        </row>
        <row r="142">
          <cell r="S142">
            <v>26253.603599999999</v>
          </cell>
          <cell r="T142">
            <v>28102.7372</v>
          </cell>
          <cell r="U142">
            <v>26253.603599999999</v>
          </cell>
        </row>
        <row r="143">
          <cell r="S143">
            <v>26503.0128</v>
          </cell>
          <cell r="T143">
            <v>28348.2435</v>
          </cell>
          <cell r="U143">
            <v>26503.0128</v>
          </cell>
        </row>
        <row r="144">
          <cell r="S144">
            <v>26754.791399999998</v>
          </cell>
          <cell r="T144">
            <v>28595.940200000001</v>
          </cell>
          <cell r="U144">
            <v>26754.791399999998</v>
          </cell>
        </row>
        <row r="145">
          <cell r="S145">
            <v>27008.961899999998</v>
          </cell>
          <cell r="T145">
            <v>28845.8475</v>
          </cell>
          <cell r="U145">
            <v>27008.961899999998</v>
          </cell>
        </row>
        <row r="146">
          <cell r="S146">
            <v>27265.5471</v>
          </cell>
          <cell r="T146">
            <v>29097.985499999999</v>
          </cell>
          <cell r="U146">
            <v>27265.5471</v>
          </cell>
        </row>
        <row r="147">
          <cell r="S147">
            <v>27524.569800000001</v>
          </cell>
          <cell r="T147">
            <v>29352.374400000001</v>
          </cell>
          <cell r="U147">
            <v>27524.569800000001</v>
          </cell>
        </row>
        <row r="148">
          <cell r="S148">
            <v>27786.053199999998</v>
          </cell>
          <cell r="T148">
            <v>29609.035</v>
          </cell>
          <cell r="U148">
            <v>27786.053199999998</v>
          </cell>
        </row>
        <row r="149">
          <cell r="S149">
            <v>28050.020700000001</v>
          </cell>
          <cell r="T149">
            <v>29867.988000000001</v>
          </cell>
          <cell r="U149">
            <v>28050.020700000001</v>
          </cell>
        </row>
        <row r="150">
          <cell r="S150">
            <v>28316.495900000002</v>
          </cell>
          <cell r="T150">
            <v>30129.254300000001</v>
          </cell>
          <cell r="U150">
            <v>28316.495900000002</v>
          </cell>
        </row>
        <row r="151">
          <cell r="S151">
            <v>28585.5026</v>
          </cell>
          <cell r="T151">
            <v>30392.855299999999</v>
          </cell>
          <cell r="U151">
            <v>28585.5026</v>
          </cell>
        </row>
        <row r="152">
          <cell r="S152">
            <v>28857.064900000001</v>
          </cell>
          <cell r="T152">
            <v>30658.812000000002</v>
          </cell>
          <cell r="U152">
            <v>28857.064900000001</v>
          </cell>
        </row>
        <row r="153">
          <cell r="S153">
            <v>29131.206999999999</v>
          </cell>
          <cell r="T153">
            <v>30927.146199999999</v>
          </cell>
          <cell r="U153">
            <v>29131.206999999999</v>
          </cell>
        </row>
        <row r="154">
          <cell r="S154">
            <v>29407.9535</v>
          </cell>
          <cell r="T154">
            <v>31197.879499999999</v>
          </cell>
          <cell r="U154">
            <v>29407.9535</v>
          </cell>
        </row>
        <row r="155">
          <cell r="S155">
            <v>29687.329000000002</v>
          </cell>
          <cell r="T155">
            <v>31471.034</v>
          </cell>
          <cell r="U155">
            <v>29687.329000000002</v>
          </cell>
        </row>
        <row r="156">
          <cell r="S156">
            <v>29969.3586</v>
          </cell>
          <cell r="T156">
            <v>31746.631700000002</v>
          </cell>
          <cell r="U156">
            <v>29969.3586</v>
          </cell>
        </row>
        <row r="157">
          <cell r="S157">
            <v>30254.067599999998</v>
          </cell>
          <cell r="T157">
            <v>32024.695100000001</v>
          </cell>
          <cell r="U157">
            <v>30254.067500000001</v>
          </cell>
        </row>
        <row r="158">
          <cell r="S158">
            <v>30541.481199999998</v>
          </cell>
          <cell r="T158">
            <v>32305.246800000001</v>
          </cell>
          <cell r="U158">
            <v>30541.481199999998</v>
          </cell>
        </row>
        <row r="159">
          <cell r="S159">
            <v>30831.6253</v>
          </cell>
          <cell r="T159">
            <v>32588.309399999998</v>
          </cell>
          <cell r="U159">
            <v>30831.6253</v>
          </cell>
        </row>
        <row r="160">
          <cell r="S160">
            <v>31124.525699999998</v>
          </cell>
          <cell r="T160">
            <v>32873.9061</v>
          </cell>
          <cell r="U160">
            <v>31124.525699999998</v>
          </cell>
        </row>
        <row r="161">
          <cell r="S161">
            <v>31420.208699999999</v>
          </cell>
          <cell r="T161">
            <v>33162.060100000002</v>
          </cell>
          <cell r="U161">
            <v>31420.208699999999</v>
          </cell>
        </row>
        <row r="162">
          <cell r="S162">
            <v>31718.700700000001</v>
          </cell>
          <cell r="T162">
            <v>33452.794699999999</v>
          </cell>
          <cell r="U162">
            <v>31718.700700000001</v>
          </cell>
        </row>
        <row r="163">
          <cell r="S163">
            <v>32020.028300000002</v>
          </cell>
          <cell r="T163">
            <v>33746.133699999998</v>
          </cell>
          <cell r="U163">
            <v>32020.028300000002</v>
          </cell>
        </row>
        <row r="164">
          <cell r="S164">
            <v>32324.2186</v>
          </cell>
          <cell r="T164">
            <v>34042.100899999998</v>
          </cell>
          <cell r="U164">
            <v>32324.2186</v>
          </cell>
        </row>
        <row r="165">
          <cell r="S165">
            <v>32631.298699999999</v>
          </cell>
          <cell r="T165">
            <v>34340.720399999998</v>
          </cell>
          <cell r="U165">
            <v>32631.298699999999</v>
          </cell>
        </row>
        <row r="166">
          <cell r="S166">
            <v>32941.296000000002</v>
          </cell>
          <cell r="T166">
            <v>34642.016600000003</v>
          </cell>
          <cell r="U166">
            <v>32941.296000000002</v>
          </cell>
        </row>
        <row r="167">
          <cell r="S167">
            <v>33254.238299999997</v>
          </cell>
          <cell r="T167">
            <v>34946.013899999998</v>
          </cell>
          <cell r="U167">
            <v>33254.238299999997</v>
          </cell>
        </row>
        <row r="168">
          <cell r="S168">
            <v>33570.153599999998</v>
          </cell>
          <cell r="T168">
            <v>35252.737200000003</v>
          </cell>
          <cell r="U168">
            <v>33570.153599999998</v>
          </cell>
        </row>
        <row r="169">
          <cell r="S169">
            <v>33889.070099999997</v>
          </cell>
          <cell r="T169">
            <v>35562.211499999998</v>
          </cell>
          <cell r="U169">
            <v>33889.070099999997</v>
          </cell>
        </row>
        <row r="170">
          <cell r="S170">
            <v>34211.016199999998</v>
          </cell>
          <cell r="T170">
            <v>35874.462099999997</v>
          </cell>
          <cell r="U170">
            <v>34211.016199999998</v>
          </cell>
        </row>
        <row r="171">
          <cell r="S171">
            <v>34536.020900000003</v>
          </cell>
          <cell r="T171">
            <v>36189.5144</v>
          </cell>
          <cell r="U171">
            <v>34536.020900000003</v>
          </cell>
        </row>
        <row r="172">
          <cell r="S172">
            <v>34864.113100000002</v>
          </cell>
          <cell r="T172">
            <v>36507.394099999998</v>
          </cell>
          <cell r="U172">
            <v>34864.113100000002</v>
          </cell>
        </row>
        <row r="173">
          <cell r="S173">
            <v>35195.322099999998</v>
          </cell>
          <cell r="T173">
            <v>36828.1273</v>
          </cell>
          <cell r="U173">
            <v>35195.322099999998</v>
          </cell>
        </row>
        <row r="174">
          <cell r="S174">
            <v>35529.6777</v>
          </cell>
          <cell r="T174">
            <v>37151.740100000003</v>
          </cell>
          <cell r="U174">
            <v>35529.6777</v>
          </cell>
        </row>
        <row r="175">
          <cell r="S175">
            <v>35867.209600000002</v>
          </cell>
          <cell r="T175">
            <v>37478.258900000001</v>
          </cell>
          <cell r="U175">
            <v>35867.209600000002</v>
          </cell>
        </row>
        <row r="176">
          <cell r="S176">
            <v>36207.948100000001</v>
          </cell>
          <cell r="T176">
            <v>37807.710599999999</v>
          </cell>
          <cell r="U176">
            <v>36207.948100000001</v>
          </cell>
        </row>
        <row r="177">
          <cell r="S177">
            <v>36551.923600000002</v>
          </cell>
          <cell r="T177">
            <v>38140.122000000003</v>
          </cell>
          <cell r="U177">
            <v>36551.923600000002</v>
          </cell>
        </row>
        <row r="178">
          <cell r="S178">
            <v>36899.166899999997</v>
          </cell>
          <cell r="T178">
            <v>38475.520299999996</v>
          </cell>
          <cell r="U178">
            <v>36899.166899999997</v>
          </cell>
        </row>
        <row r="179">
          <cell r="S179">
            <v>37249.709000000003</v>
          </cell>
          <cell r="T179">
            <v>38813.932999999997</v>
          </cell>
          <cell r="U179">
            <v>37249.709000000003</v>
          </cell>
        </row>
        <row r="180">
          <cell r="S180">
            <v>37603.581200000001</v>
          </cell>
          <cell r="T180">
            <v>39155.387900000002</v>
          </cell>
          <cell r="U180">
            <v>37603.581200000001</v>
          </cell>
        </row>
        <row r="181">
          <cell r="S181">
            <v>37960.815300000002</v>
          </cell>
          <cell r="T181">
            <v>39499.912799999998</v>
          </cell>
          <cell r="U181">
            <v>37960.815300000002</v>
          </cell>
        </row>
        <row r="182">
          <cell r="S182">
            <v>38321.442999999999</v>
          </cell>
          <cell r="T182">
            <v>39847.536200000002</v>
          </cell>
          <cell r="U182">
            <v>38321.442999999999</v>
          </cell>
        </row>
        <row r="183">
          <cell r="S183">
            <v>38685.496700000003</v>
          </cell>
          <cell r="T183">
            <v>40198.2863</v>
          </cell>
          <cell r="U183">
            <v>38685.496700000003</v>
          </cell>
        </row>
        <row r="184">
          <cell r="S184">
            <v>39053.008900000001</v>
          </cell>
          <cell r="T184">
            <v>40552.1921</v>
          </cell>
          <cell r="U184">
            <v>39053.008900000001</v>
          </cell>
        </row>
        <row r="185">
          <cell r="S185">
            <v>39424.012499999997</v>
          </cell>
          <cell r="T185">
            <v>40909.282500000001</v>
          </cell>
          <cell r="U185">
            <v>39424.012499999997</v>
          </cell>
        </row>
        <row r="186">
          <cell r="S186">
            <v>39798.5406</v>
          </cell>
          <cell r="T186">
            <v>41269.587</v>
          </cell>
          <cell r="U186">
            <v>39798.5406</v>
          </cell>
        </row>
        <row r="187">
          <cell r="S187">
            <v>40176.626799999998</v>
          </cell>
          <cell r="T187">
            <v>41633.135000000002</v>
          </cell>
          <cell r="U187">
            <v>40176.626799999998</v>
          </cell>
        </row>
        <row r="188">
          <cell r="S188">
            <v>40558.304700000001</v>
          </cell>
          <cell r="T188">
            <v>41999.9565</v>
          </cell>
          <cell r="U188">
            <v>40558.304700000001</v>
          </cell>
        </row>
        <row r="189">
          <cell r="S189">
            <v>40943.6086</v>
          </cell>
          <cell r="T189">
            <v>42370.081400000003</v>
          </cell>
          <cell r="U189">
            <v>40943.6086</v>
          </cell>
        </row>
        <row r="190">
          <cell r="S190">
            <v>41332.572899999999</v>
          </cell>
          <cell r="T190">
            <v>42743.5406</v>
          </cell>
          <cell r="U190">
            <v>41332.572899999999</v>
          </cell>
        </row>
        <row r="191">
          <cell r="S191">
            <v>41725.232400000001</v>
          </cell>
          <cell r="T191">
            <v>43120.364300000001</v>
          </cell>
          <cell r="U191">
            <v>41725.232300000003</v>
          </cell>
        </row>
        <row r="192">
          <cell r="S192">
            <v>42121.622100000001</v>
          </cell>
          <cell r="T192">
            <v>43500.5838</v>
          </cell>
          <cell r="U192">
            <v>42121.622100000001</v>
          </cell>
        </row>
        <row r="193">
          <cell r="S193">
            <v>42521.777499999997</v>
          </cell>
          <cell r="T193">
            <v>43884.2304</v>
          </cell>
          <cell r="U193">
            <v>42521.777499999997</v>
          </cell>
        </row>
        <row r="194">
          <cell r="S194">
            <v>42925.734400000001</v>
          </cell>
          <cell r="T194">
            <v>44271.335700000003</v>
          </cell>
          <cell r="U194">
            <v>42925.734299999996</v>
          </cell>
        </row>
        <row r="195">
          <cell r="S195">
            <v>43333.5288</v>
          </cell>
          <cell r="T195">
            <v>44661.931499999999</v>
          </cell>
          <cell r="U195">
            <v>43333.5288</v>
          </cell>
        </row>
        <row r="196">
          <cell r="S196">
            <v>43745.197399999997</v>
          </cell>
          <cell r="T196">
            <v>45056.049899999998</v>
          </cell>
          <cell r="U196">
            <v>43745.1973</v>
          </cell>
        </row>
        <row r="197">
          <cell r="S197">
            <v>44160.776700000002</v>
          </cell>
          <cell r="T197">
            <v>45453.723599999998</v>
          </cell>
          <cell r="U197">
            <v>44160.776700000002</v>
          </cell>
        </row>
        <row r="198">
          <cell r="S198">
            <v>44580.304100000001</v>
          </cell>
          <cell r="T198">
            <v>45854.985399999998</v>
          </cell>
          <cell r="U198">
            <v>44580.304100000001</v>
          </cell>
        </row>
        <row r="199">
          <cell r="S199">
            <v>45003.817000000003</v>
          </cell>
          <cell r="T199">
            <v>46259.8681</v>
          </cell>
          <cell r="U199">
            <v>45003.817000000003</v>
          </cell>
        </row>
        <row r="200">
          <cell r="S200">
            <v>45431.353300000002</v>
          </cell>
          <cell r="T200">
            <v>46668.405500000001</v>
          </cell>
          <cell r="U200">
            <v>45431.353300000002</v>
          </cell>
        </row>
        <row r="201">
          <cell r="S201">
            <v>45862.951099999998</v>
          </cell>
          <cell r="T201">
            <v>47080.631000000001</v>
          </cell>
          <cell r="U201">
            <v>45862.951099999998</v>
          </cell>
        </row>
        <row r="202">
          <cell r="S202">
            <v>46298.649100000002</v>
          </cell>
          <cell r="T202">
            <v>47496.5789</v>
          </cell>
          <cell r="U202">
            <v>46298.649100000002</v>
          </cell>
        </row>
        <row r="203">
          <cell r="S203">
            <v>46738.486299999997</v>
          </cell>
          <cell r="T203">
            <v>47916.2834</v>
          </cell>
          <cell r="U203">
            <v>46738.486299999997</v>
          </cell>
        </row>
        <row r="204">
          <cell r="S204">
            <v>47182.501900000003</v>
          </cell>
          <cell r="T204">
            <v>48339.779300000002</v>
          </cell>
          <cell r="U204">
            <v>47182.501900000003</v>
          </cell>
        </row>
        <row r="205">
          <cell r="S205">
            <v>47630.735699999997</v>
          </cell>
          <cell r="T205">
            <v>48767.101600000002</v>
          </cell>
          <cell r="U205">
            <v>47630.735699999997</v>
          </cell>
        </row>
        <row r="206">
          <cell r="S206">
            <v>48083.227700000003</v>
          </cell>
          <cell r="T206">
            <v>49198.285600000003</v>
          </cell>
          <cell r="U206">
            <v>48083.227700000003</v>
          </cell>
        </row>
        <row r="207">
          <cell r="S207">
            <v>48540.018400000001</v>
          </cell>
          <cell r="T207">
            <v>49633.366900000001</v>
          </cell>
          <cell r="U207">
            <v>48540.018400000001</v>
          </cell>
        </row>
        <row r="208">
          <cell r="S208">
            <v>49001.148500000003</v>
          </cell>
          <cell r="T208">
            <v>50072.381699999998</v>
          </cell>
          <cell r="U208">
            <v>49001.148500000003</v>
          </cell>
        </row>
        <row r="209">
          <cell r="S209">
            <v>49466.659399999997</v>
          </cell>
          <cell r="T209">
            <v>50515.366199999997</v>
          </cell>
          <cell r="U209">
            <v>49466.659399999997</v>
          </cell>
        </row>
        <row r="210">
          <cell r="S210">
            <v>49936.592700000001</v>
          </cell>
          <cell r="T210">
            <v>50962.357300000003</v>
          </cell>
          <cell r="U210">
            <v>49936.592700000001</v>
          </cell>
        </row>
        <row r="211">
          <cell r="S211">
            <v>50410.990299999998</v>
          </cell>
          <cell r="T211">
            <v>51413.391799999998</v>
          </cell>
          <cell r="U211">
            <v>50410.990299999998</v>
          </cell>
        </row>
        <row r="212">
          <cell r="S212">
            <v>50889.894699999997</v>
          </cell>
          <cell r="T212">
            <v>51868.5072</v>
          </cell>
          <cell r="U212">
            <v>50889.894699999997</v>
          </cell>
        </row>
        <row r="213">
          <cell r="S213">
            <v>51373.348700000002</v>
          </cell>
          <cell r="T213">
            <v>52327.741099999999</v>
          </cell>
          <cell r="U213">
            <v>51373.348700000002</v>
          </cell>
        </row>
        <row r="214">
          <cell r="S214">
            <v>51861.395600000003</v>
          </cell>
          <cell r="T214">
            <v>52791.1319</v>
          </cell>
          <cell r="U214">
            <v>51861.395600000003</v>
          </cell>
        </row>
        <row r="215">
          <cell r="S215">
            <v>52354.078800000003</v>
          </cell>
          <cell r="T215">
            <v>53258.717799999999</v>
          </cell>
          <cell r="U215">
            <v>52354.078800000003</v>
          </cell>
        </row>
        <row r="216">
          <cell r="S216">
            <v>52851.442600000002</v>
          </cell>
          <cell r="T216">
            <v>53730.537799999998</v>
          </cell>
          <cell r="U216">
            <v>52851.442600000002</v>
          </cell>
        </row>
        <row r="217">
          <cell r="S217">
            <v>53353.531300000002</v>
          </cell>
          <cell r="T217">
            <v>54206.630899999996</v>
          </cell>
          <cell r="U217">
            <v>53353.531300000002</v>
          </cell>
        </row>
        <row r="218">
          <cell r="S218">
            <v>53860.389799999997</v>
          </cell>
          <cell r="T218">
            <v>54687.036699999997</v>
          </cell>
          <cell r="U218">
            <v>53860.389799999997</v>
          </cell>
        </row>
        <row r="219">
          <cell r="S219">
            <v>54372.063499999997</v>
          </cell>
          <cell r="T219">
            <v>55171.795100000003</v>
          </cell>
          <cell r="U219">
            <v>54372.063499999997</v>
          </cell>
        </row>
        <row r="220">
          <cell r="S220">
            <v>54888.598100000003</v>
          </cell>
          <cell r="T220">
            <v>55660.946600000003</v>
          </cell>
          <cell r="U220">
            <v>54888.598100000003</v>
          </cell>
        </row>
        <row r="221">
          <cell r="S221">
            <v>55410.039799999999</v>
          </cell>
          <cell r="T221">
            <v>56154.531499999997</v>
          </cell>
          <cell r="U221">
            <v>55410.039799999999</v>
          </cell>
        </row>
        <row r="222">
          <cell r="S222">
            <v>55936.4352</v>
          </cell>
          <cell r="T222">
            <v>56652.5913</v>
          </cell>
          <cell r="U222">
            <v>55936.4352</v>
          </cell>
        </row>
        <row r="223">
          <cell r="S223">
            <v>56467.831299999998</v>
          </cell>
          <cell r="T223">
            <v>57155.167200000004</v>
          </cell>
          <cell r="U223">
            <v>56467.831299999998</v>
          </cell>
        </row>
        <row r="224">
          <cell r="S224">
            <v>57004.275699999998</v>
          </cell>
          <cell r="T224">
            <v>57662.300900000002</v>
          </cell>
          <cell r="U224">
            <v>57004.275699999998</v>
          </cell>
        </row>
        <row r="225">
          <cell r="S225">
            <v>57545.816299999999</v>
          </cell>
          <cell r="T225">
            <v>58174.035000000003</v>
          </cell>
          <cell r="U225">
            <v>57545.816299999999</v>
          </cell>
        </row>
        <row r="226">
          <cell r="S226">
            <v>58092.501600000003</v>
          </cell>
          <cell r="T226">
            <v>58690.411899999999</v>
          </cell>
          <cell r="U226">
            <v>58092.501600000003</v>
          </cell>
        </row>
        <row r="227">
          <cell r="S227">
            <v>58644.380400000002</v>
          </cell>
          <cell r="T227">
            <v>59211.474699999999</v>
          </cell>
          <cell r="U227">
            <v>58644.380299999997</v>
          </cell>
        </row>
        <row r="228">
          <cell r="S228">
            <v>59201.502</v>
          </cell>
          <cell r="T228">
            <v>59737.266799999998</v>
          </cell>
          <cell r="U228">
            <v>59201.502</v>
          </cell>
        </row>
        <row r="229">
          <cell r="S229">
            <v>59763.9162</v>
          </cell>
          <cell r="T229">
            <v>60267.832000000002</v>
          </cell>
          <cell r="U229">
            <v>59763.9162</v>
          </cell>
        </row>
        <row r="230">
          <cell r="S230">
            <v>60331.6734</v>
          </cell>
          <cell r="T230">
            <v>60803.214699999997</v>
          </cell>
          <cell r="U230">
            <v>60331.6734</v>
          </cell>
        </row>
        <row r="231">
          <cell r="S231">
            <v>60904.8243</v>
          </cell>
          <cell r="T231">
            <v>61343.459499999997</v>
          </cell>
          <cell r="U231">
            <v>60904.8243</v>
          </cell>
        </row>
        <row r="232">
          <cell r="S232">
            <v>61483.4202</v>
          </cell>
          <cell r="T232">
            <v>61888.611400000002</v>
          </cell>
          <cell r="U232">
            <v>61483.4202</v>
          </cell>
        </row>
        <row r="233">
          <cell r="S233">
            <v>62067.512699999999</v>
          </cell>
          <cell r="T233">
            <v>62438.716200000003</v>
          </cell>
          <cell r="U233">
            <v>62067.512699999999</v>
          </cell>
        </row>
        <row r="234">
          <cell r="S234">
            <v>62657.154000000002</v>
          </cell>
          <cell r="T234">
            <v>62993.819600000003</v>
          </cell>
          <cell r="U234">
            <v>62657.154000000002</v>
          </cell>
        </row>
        <row r="235">
          <cell r="S235">
            <v>63252.396999999997</v>
          </cell>
          <cell r="T235">
            <v>63553.968000000001</v>
          </cell>
          <cell r="U235">
            <v>63252.396999999997</v>
          </cell>
        </row>
        <row r="236">
          <cell r="S236">
            <v>63853.294800000003</v>
          </cell>
          <cell r="T236">
            <v>64119.208400000003</v>
          </cell>
          <cell r="U236">
            <v>63853.294800000003</v>
          </cell>
        </row>
        <row r="237">
          <cell r="S237">
            <v>64459.901100000003</v>
          </cell>
          <cell r="T237">
            <v>64689.587899999999</v>
          </cell>
          <cell r="U237">
            <v>64459.901100000003</v>
          </cell>
        </row>
        <row r="238">
          <cell r="S238">
            <v>65072.270100000002</v>
          </cell>
          <cell r="T238">
            <v>65265.154399999999</v>
          </cell>
          <cell r="U238">
            <v>65072.270100000002</v>
          </cell>
        </row>
        <row r="239">
          <cell r="S239">
            <v>65690.456699999995</v>
          </cell>
          <cell r="T239">
            <v>65845.955799999996</v>
          </cell>
          <cell r="U239">
            <v>65690.456699999995</v>
          </cell>
        </row>
        <row r="240">
          <cell r="S240">
            <v>66314.516000000003</v>
          </cell>
          <cell r="T240">
            <v>66432.041100000002</v>
          </cell>
          <cell r="U240">
            <v>66314.516000000003</v>
          </cell>
        </row>
        <row r="241">
          <cell r="S241">
            <v>66944.503899999996</v>
          </cell>
          <cell r="T241">
            <v>67023.459000000003</v>
          </cell>
          <cell r="U241">
            <v>66944.503899999996</v>
          </cell>
        </row>
        <row r="242">
          <cell r="S242">
            <v>67580.476699999999</v>
          </cell>
          <cell r="T242">
            <v>67620.2592</v>
          </cell>
          <cell r="U242">
            <v>67580.476699999999</v>
          </cell>
        </row>
        <row r="243">
          <cell r="S243">
            <v>68222.491999999998</v>
          </cell>
          <cell r="T243">
            <v>68222.491999999998</v>
          </cell>
          <cell r="U243">
            <v>68222.491999999998</v>
          </cell>
        </row>
        <row r="244">
          <cell r="S244">
            <v>0</v>
          </cell>
          <cell r="T244">
            <v>0</v>
          </cell>
          <cell r="U244">
            <v>0</v>
          </cell>
        </row>
        <row r="245">
          <cell r="S245">
            <v>0</v>
          </cell>
          <cell r="T245">
            <v>0</v>
          </cell>
          <cell r="U245">
            <v>0</v>
          </cell>
        </row>
        <row r="246">
          <cell r="S246">
            <v>0</v>
          </cell>
          <cell r="T246">
            <v>0</v>
          </cell>
          <cell r="U246">
            <v>0</v>
          </cell>
        </row>
        <row r="247">
          <cell r="S247">
            <v>0</v>
          </cell>
          <cell r="T247">
            <v>0</v>
          </cell>
          <cell r="U247">
            <v>0</v>
          </cell>
        </row>
        <row r="248">
          <cell r="S248">
            <v>0</v>
          </cell>
          <cell r="T248">
            <v>0</v>
          </cell>
          <cell r="U248">
            <v>0</v>
          </cell>
        </row>
        <row r="249">
          <cell r="S249">
            <v>0</v>
          </cell>
          <cell r="T249">
            <v>0</v>
          </cell>
          <cell r="U249">
            <v>0</v>
          </cell>
        </row>
        <row r="250">
          <cell r="S250">
            <v>0</v>
          </cell>
          <cell r="T250">
            <v>0</v>
          </cell>
          <cell r="U250">
            <v>0</v>
          </cell>
        </row>
        <row r="251">
          <cell r="S251">
            <v>0</v>
          </cell>
          <cell r="T251">
            <v>0</v>
          </cell>
          <cell r="U251">
            <v>0</v>
          </cell>
        </row>
        <row r="252">
          <cell r="S252">
            <v>0</v>
          </cell>
          <cell r="T252">
            <v>0</v>
          </cell>
          <cell r="U252">
            <v>0</v>
          </cell>
        </row>
        <row r="253">
          <cell r="S253">
            <v>0</v>
          </cell>
          <cell r="T253">
            <v>0</v>
          </cell>
          <cell r="U253">
            <v>0</v>
          </cell>
        </row>
        <row r="254">
          <cell r="S254">
            <v>0</v>
          </cell>
          <cell r="T254">
            <v>0</v>
          </cell>
          <cell r="U254">
            <v>0</v>
          </cell>
        </row>
        <row r="255">
          <cell r="S255">
            <v>0</v>
          </cell>
          <cell r="T255">
            <v>0</v>
          </cell>
          <cell r="U255">
            <v>0</v>
          </cell>
        </row>
        <row r="256">
          <cell r="S256">
            <v>0</v>
          </cell>
          <cell r="T256">
            <v>0</v>
          </cell>
          <cell r="U256">
            <v>0</v>
          </cell>
        </row>
        <row r="257">
          <cell r="S257">
            <v>0</v>
          </cell>
          <cell r="T257">
            <v>0</v>
          </cell>
          <cell r="U257">
            <v>0</v>
          </cell>
        </row>
        <row r="258">
          <cell r="S258">
            <v>0</v>
          </cell>
          <cell r="T258">
            <v>0</v>
          </cell>
          <cell r="U258">
            <v>0</v>
          </cell>
        </row>
        <row r="259">
          <cell r="S259">
            <v>0</v>
          </cell>
          <cell r="T259">
            <v>0</v>
          </cell>
          <cell r="U259">
            <v>0</v>
          </cell>
        </row>
        <row r="260">
          <cell r="S260">
            <v>0</v>
          </cell>
          <cell r="T260">
            <v>0</v>
          </cell>
          <cell r="U260">
            <v>0</v>
          </cell>
        </row>
        <row r="261">
          <cell r="S261">
            <v>0</v>
          </cell>
          <cell r="T261">
            <v>0</v>
          </cell>
          <cell r="U261">
            <v>0</v>
          </cell>
        </row>
        <row r="262">
          <cell r="S262">
            <v>0</v>
          </cell>
          <cell r="T262">
            <v>0</v>
          </cell>
          <cell r="U262">
            <v>0</v>
          </cell>
        </row>
        <row r="263">
          <cell r="S263">
            <v>0</v>
          </cell>
          <cell r="T263">
            <v>0</v>
          </cell>
          <cell r="U263">
            <v>0</v>
          </cell>
        </row>
        <row r="264">
          <cell r="S264">
            <v>0</v>
          </cell>
          <cell r="T264">
            <v>0</v>
          </cell>
          <cell r="U264">
            <v>0</v>
          </cell>
        </row>
        <row r="265">
          <cell r="S265">
            <v>0</v>
          </cell>
          <cell r="T265">
            <v>0</v>
          </cell>
          <cell r="U265">
            <v>0</v>
          </cell>
        </row>
        <row r="266">
          <cell r="S266">
            <v>0</v>
          </cell>
          <cell r="T266">
            <v>0</v>
          </cell>
          <cell r="U266">
            <v>0</v>
          </cell>
        </row>
        <row r="267">
          <cell r="S267">
            <v>0</v>
          </cell>
          <cell r="T267">
            <v>0</v>
          </cell>
          <cell r="U267">
            <v>0</v>
          </cell>
        </row>
        <row r="268">
          <cell r="S268">
            <v>0</v>
          </cell>
          <cell r="T268">
            <v>0</v>
          </cell>
          <cell r="U268">
            <v>0</v>
          </cell>
        </row>
        <row r="269">
          <cell r="S269">
            <v>0</v>
          </cell>
          <cell r="T269">
            <v>0</v>
          </cell>
          <cell r="U269">
            <v>0</v>
          </cell>
        </row>
        <row r="270">
          <cell r="S270">
            <v>0</v>
          </cell>
          <cell r="T270">
            <v>0</v>
          </cell>
          <cell r="U270">
            <v>0</v>
          </cell>
        </row>
        <row r="271">
          <cell r="S271">
            <v>0</v>
          </cell>
          <cell r="T271">
            <v>0</v>
          </cell>
          <cell r="U271">
            <v>0</v>
          </cell>
        </row>
        <row r="272">
          <cell r="S272">
            <v>0</v>
          </cell>
          <cell r="T272">
            <v>0</v>
          </cell>
          <cell r="U272">
            <v>0</v>
          </cell>
        </row>
        <row r="273">
          <cell r="S273">
            <v>0</v>
          </cell>
          <cell r="T273">
            <v>0</v>
          </cell>
          <cell r="U273">
            <v>0</v>
          </cell>
        </row>
        <row r="274">
          <cell r="S274">
            <v>0</v>
          </cell>
          <cell r="T274">
            <v>0</v>
          </cell>
          <cell r="U274">
            <v>0</v>
          </cell>
        </row>
        <row r="275">
          <cell r="S275">
            <v>0</v>
          </cell>
          <cell r="T275">
            <v>0</v>
          </cell>
          <cell r="U275">
            <v>0</v>
          </cell>
        </row>
        <row r="276">
          <cell r="S276">
            <v>0</v>
          </cell>
          <cell r="T276">
            <v>0</v>
          </cell>
          <cell r="U276">
            <v>0</v>
          </cell>
        </row>
        <row r="277">
          <cell r="S277">
            <v>0</v>
          </cell>
          <cell r="T277">
            <v>0</v>
          </cell>
          <cell r="U277">
            <v>0</v>
          </cell>
        </row>
        <row r="278">
          <cell r="S278">
            <v>0</v>
          </cell>
          <cell r="T278">
            <v>0</v>
          </cell>
          <cell r="U278">
            <v>0</v>
          </cell>
        </row>
        <row r="279">
          <cell r="S279">
            <v>0</v>
          </cell>
          <cell r="T279">
            <v>0</v>
          </cell>
          <cell r="U279">
            <v>0</v>
          </cell>
        </row>
        <row r="280">
          <cell r="S280">
            <v>0</v>
          </cell>
          <cell r="T280">
            <v>0</v>
          </cell>
          <cell r="U280">
            <v>0</v>
          </cell>
        </row>
        <row r="281">
          <cell r="S281">
            <v>0</v>
          </cell>
          <cell r="T281">
            <v>0</v>
          </cell>
          <cell r="U281">
            <v>0</v>
          </cell>
        </row>
        <row r="282">
          <cell r="S282">
            <v>0</v>
          </cell>
          <cell r="T282">
            <v>0</v>
          </cell>
          <cell r="U282">
            <v>0</v>
          </cell>
        </row>
        <row r="283">
          <cell r="S283">
            <v>0</v>
          </cell>
          <cell r="T283">
            <v>0</v>
          </cell>
          <cell r="U283">
            <v>0</v>
          </cell>
        </row>
        <row r="284">
          <cell r="S284">
            <v>0</v>
          </cell>
          <cell r="T284">
            <v>0</v>
          </cell>
          <cell r="U284">
            <v>0</v>
          </cell>
        </row>
        <row r="285">
          <cell r="S285">
            <v>0</v>
          </cell>
          <cell r="T285">
            <v>0</v>
          </cell>
          <cell r="U285">
            <v>0</v>
          </cell>
        </row>
        <row r="286">
          <cell r="S286">
            <v>0</v>
          </cell>
          <cell r="T286">
            <v>0</v>
          </cell>
          <cell r="U286">
            <v>0</v>
          </cell>
        </row>
        <row r="287">
          <cell r="S287">
            <v>0</v>
          </cell>
          <cell r="T287">
            <v>0</v>
          </cell>
          <cell r="U287">
            <v>0</v>
          </cell>
        </row>
        <row r="288">
          <cell r="S288">
            <v>0</v>
          </cell>
          <cell r="T288">
            <v>0</v>
          </cell>
          <cell r="U288">
            <v>0</v>
          </cell>
        </row>
        <row r="289">
          <cell r="S289">
            <v>0</v>
          </cell>
          <cell r="T289">
            <v>0</v>
          </cell>
          <cell r="U289">
            <v>0</v>
          </cell>
        </row>
        <row r="290">
          <cell r="S290">
            <v>0</v>
          </cell>
          <cell r="T290">
            <v>0</v>
          </cell>
          <cell r="U290">
            <v>0</v>
          </cell>
        </row>
        <row r="291">
          <cell r="S291">
            <v>0</v>
          </cell>
          <cell r="T291">
            <v>0</v>
          </cell>
          <cell r="U291">
            <v>0</v>
          </cell>
        </row>
        <row r="292">
          <cell r="S292">
            <v>0</v>
          </cell>
          <cell r="T292">
            <v>0</v>
          </cell>
          <cell r="U292">
            <v>0</v>
          </cell>
        </row>
        <row r="293">
          <cell r="S293">
            <v>0</v>
          </cell>
          <cell r="T293">
            <v>0</v>
          </cell>
          <cell r="U293">
            <v>0</v>
          </cell>
        </row>
        <row r="294">
          <cell r="S294">
            <v>0</v>
          </cell>
          <cell r="T294">
            <v>0</v>
          </cell>
          <cell r="U294">
            <v>0</v>
          </cell>
        </row>
        <row r="295">
          <cell r="S295">
            <v>0</v>
          </cell>
          <cell r="T295">
            <v>0</v>
          </cell>
          <cell r="U295">
            <v>0</v>
          </cell>
        </row>
        <row r="296">
          <cell r="S296">
            <v>0</v>
          </cell>
          <cell r="T296">
            <v>0</v>
          </cell>
          <cell r="U296">
            <v>0</v>
          </cell>
        </row>
        <row r="297">
          <cell r="S297">
            <v>0</v>
          </cell>
          <cell r="T297">
            <v>0</v>
          </cell>
          <cell r="U297">
            <v>0</v>
          </cell>
        </row>
        <row r="298">
          <cell r="S298">
            <v>0</v>
          </cell>
          <cell r="T298">
            <v>0</v>
          </cell>
          <cell r="U298">
            <v>0</v>
          </cell>
        </row>
        <row r="299">
          <cell r="S299">
            <v>0</v>
          </cell>
          <cell r="T299">
            <v>0</v>
          </cell>
          <cell r="U299">
            <v>0</v>
          </cell>
        </row>
        <row r="300">
          <cell r="S300">
            <v>0</v>
          </cell>
          <cell r="T300">
            <v>0</v>
          </cell>
          <cell r="U300">
            <v>0</v>
          </cell>
        </row>
        <row r="301">
          <cell r="S301">
            <v>0</v>
          </cell>
          <cell r="T301">
            <v>0</v>
          </cell>
          <cell r="U301">
            <v>0</v>
          </cell>
        </row>
        <row r="302">
          <cell r="S302">
            <v>0</v>
          </cell>
          <cell r="T302">
            <v>0</v>
          </cell>
          <cell r="U302">
            <v>0</v>
          </cell>
        </row>
        <row r="303">
          <cell r="S303">
            <v>0</v>
          </cell>
          <cell r="T303">
            <v>0</v>
          </cell>
          <cell r="U303">
            <v>0</v>
          </cell>
        </row>
        <row r="304">
          <cell r="S304">
            <v>0</v>
          </cell>
          <cell r="T304">
            <v>0</v>
          </cell>
          <cell r="U304">
            <v>0</v>
          </cell>
        </row>
        <row r="305">
          <cell r="S305">
            <v>0</v>
          </cell>
          <cell r="T305">
            <v>0</v>
          </cell>
          <cell r="U305">
            <v>0</v>
          </cell>
        </row>
        <row r="306">
          <cell r="S306">
            <v>0</v>
          </cell>
          <cell r="T306">
            <v>0</v>
          </cell>
          <cell r="U306">
            <v>0</v>
          </cell>
        </row>
        <row r="307">
          <cell r="S307">
            <v>0</v>
          </cell>
          <cell r="T307">
            <v>0</v>
          </cell>
          <cell r="U307">
            <v>0</v>
          </cell>
        </row>
        <row r="308">
          <cell r="S308">
            <v>0</v>
          </cell>
          <cell r="T308">
            <v>0</v>
          </cell>
          <cell r="U308">
            <v>0</v>
          </cell>
        </row>
        <row r="309">
          <cell r="S309">
            <v>0</v>
          </cell>
          <cell r="T309">
            <v>0</v>
          </cell>
          <cell r="U309">
            <v>0</v>
          </cell>
        </row>
        <row r="310">
          <cell r="S310">
            <v>0</v>
          </cell>
          <cell r="T310">
            <v>0</v>
          </cell>
          <cell r="U310">
            <v>0</v>
          </cell>
        </row>
        <row r="311">
          <cell r="S311">
            <v>0</v>
          </cell>
          <cell r="T311">
            <v>0</v>
          </cell>
          <cell r="U311">
            <v>0</v>
          </cell>
        </row>
        <row r="312">
          <cell r="S312">
            <v>0</v>
          </cell>
          <cell r="T312">
            <v>0</v>
          </cell>
          <cell r="U312">
            <v>0</v>
          </cell>
        </row>
        <row r="313">
          <cell r="S313">
            <v>0</v>
          </cell>
          <cell r="T313">
            <v>0</v>
          </cell>
          <cell r="U313">
            <v>0</v>
          </cell>
        </row>
        <row r="314">
          <cell r="S314">
            <v>0</v>
          </cell>
          <cell r="T314">
            <v>0</v>
          </cell>
          <cell r="U314">
            <v>0</v>
          </cell>
        </row>
        <row r="315">
          <cell r="S315">
            <v>0</v>
          </cell>
          <cell r="T315">
            <v>0</v>
          </cell>
          <cell r="U315">
            <v>0</v>
          </cell>
        </row>
        <row r="316">
          <cell r="S316">
            <v>0</v>
          </cell>
          <cell r="T316">
            <v>0</v>
          </cell>
          <cell r="U316">
            <v>0</v>
          </cell>
        </row>
        <row r="317">
          <cell r="S317">
            <v>0</v>
          </cell>
          <cell r="T317">
            <v>0</v>
          </cell>
          <cell r="U317">
            <v>0</v>
          </cell>
        </row>
        <row r="318">
          <cell r="S318">
            <v>0</v>
          </cell>
          <cell r="T318">
            <v>0</v>
          </cell>
          <cell r="U318">
            <v>0</v>
          </cell>
        </row>
        <row r="319">
          <cell r="S319">
            <v>0</v>
          </cell>
          <cell r="T319">
            <v>0</v>
          </cell>
          <cell r="U319">
            <v>0</v>
          </cell>
        </row>
        <row r="320">
          <cell r="S320">
            <v>0</v>
          </cell>
          <cell r="T320">
            <v>0</v>
          </cell>
          <cell r="U320">
            <v>0</v>
          </cell>
        </row>
        <row r="321">
          <cell r="S321">
            <v>0</v>
          </cell>
          <cell r="T321">
            <v>0</v>
          </cell>
          <cell r="U321">
            <v>0</v>
          </cell>
        </row>
        <row r="322">
          <cell r="S322">
            <v>0</v>
          </cell>
          <cell r="T322">
            <v>0</v>
          </cell>
          <cell r="U322">
            <v>0</v>
          </cell>
        </row>
        <row r="323">
          <cell r="S323">
            <v>0</v>
          </cell>
          <cell r="T323">
            <v>0</v>
          </cell>
          <cell r="U323">
            <v>0</v>
          </cell>
        </row>
        <row r="324">
          <cell r="S324">
            <v>0</v>
          </cell>
          <cell r="T324">
            <v>0</v>
          </cell>
          <cell r="U324">
            <v>0</v>
          </cell>
        </row>
        <row r="325">
          <cell r="S325">
            <v>0</v>
          </cell>
          <cell r="T325">
            <v>0</v>
          </cell>
          <cell r="U325">
            <v>0</v>
          </cell>
        </row>
        <row r="326">
          <cell r="S326">
            <v>0</v>
          </cell>
          <cell r="T326">
            <v>0</v>
          </cell>
          <cell r="U326">
            <v>0</v>
          </cell>
        </row>
        <row r="327">
          <cell r="S327">
            <v>0</v>
          </cell>
          <cell r="T327">
            <v>0</v>
          </cell>
          <cell r="U327">
            <v>0</v>
          </cell>
        </row>
        <row r="328">
          <cell r="S328">
            <v>0</v>
          </cell>
          <cell r="T328">
            <v>0</v>
          </cell>
          <cell r="U328">
            <v>0</v>
          </cell>
        </row>
        <row r="329">
          <cell r="S329">
            <v>0</v>
          </cell>
          <cell r="T329">
            <v>0</v>
          </cell>
          <cell r="U329">
            <v>0</v>
          </cell>
        </row>
        <row r="330">
          <cell r="S330">
            <v>0</v>
          </cell>
          <cell r="T330">
            <v>0</v>
          </cell>
          <cell r="U330">
            <v>0</v>
          </cell>
        </row>
        <row r="331">
          <cell r="S331">
            <v>0</v>
          </cell>
          <cell r="T331">
            <v>0</v>
          </cell>
          <cell r="U331">
            <v>0</v>
          </cell>
        </row>
        <row r="332">
          <cell r="S332">
            <v>0</v>
          </cell>
          <cell r="T332">
            <v>0</v>
          </cell>
          <cell r="U332">
            <v>0</v>
          </cell>
        </row>
        <row r="333">
          <cell r="S333">
            <v>0</v>
          </cell>
          <cell r="T333">
            <v>0</v>
          </cell>
          <cell r="U333">
            <v>0</v>
          </cell>
        </row>
        <row r="334">
          <cell r="S334">
            <v>0</v>
          </cell>
          <cell r="T334">
            <v>0</v>
          </cell>
          <cell r="U334">
            <v>0</v>
          </cell>
        </row>
        <row r="335">
          <cell r="S335">
            <v>0</v>
          </cell>
          <cell r="T335">
            <v>0</v>
          </cell>
          <cell r="U335">
            <v>0</v>
          </cell>
        </row>
        <row r="336">
          <cell r="S336">
            <v>0</v>
          </cell>
          <cell r="T336">
            <v>0</v>
          </cell>
          <cell r="U336">
            <v>0</v>
          </cell>
        </row>
        <row r="337">
          <cell r="S337">
            <v>0</v>
          </cell>
          <cell r="T337">
            <v>0</v>
          </cell>
          <cell r="U337">
            <v>0</v>
          </cell>
        </row>
        <row r="338">
          <cell r="S338">
            <v>0</v>
          </cell>
          <cell r="T338">
            <v>0</v>
          </cell>
          <cell r="U338">
            <v>0</v>
          </cell>
        </row>
        <row r="339">
          <cell r="S339">
            <v>0</v>
          </cell>
          <cell r="T339">
            <v>0</v>
          </cell>
          <cell r="U339">
            <v>0</v>
          </cell>
        </row>
        <row r="340">
          <cell r="S340">
            <v>0</v>
          </cell>
          <cell r="T340">
            <v>0</v>
          </cell>
          <cell r="U340">
            <v>0</v>
          </cell>
        </row>
        <row r="341">
          <cell r="S341">
            <v>0</v>
          </cell>
          <cell r="T341">
            <v>0</v>
          </cell>
          <cell r="U341">
            <v>0</v>
          </cell>
        </row>
        <row r="342">
          <cell r="S342">
            <v>0</v>
          </cell>
          <cell r="T342">
            <v>0</v>
          </cell>
          <cell r="U342">
            <v>0</v>
          </cell>
        </row>
        <row r="343">
          <cell r="S343">
            <v>0</v>
          </cell>
          <cell r="T343">
            <v>0</v>
          </cell>
          <cell r="U343">
            <v>0</v>
          </cell>
        </row>
        <row r="344">
          <cell r="S344">
            <v>0</v>
          </cell>
          <cell r="T344">
            <v>0</v>
          </cell>
          <cell r="U344">
            <v>0</v>
          </cell>
        </row>
        <row r="345">
          <cell r="S345">
            <v>0</v>
          </cell>
          <cell r="T345">
            <v>0</v>
          </cell>
          <cell r="U345">
            <v>0</v>
          </cell>
        </row>
        <row r="346">
          <cell r="S346">
            <v>0</v>
          </cell>
          <cell r="T346">
            <v>0</v>
          </cell>
          <cell r="U346">
            <v>0</v>
          </cell>
        </row>
        <row r="347">
          <cell r="S347">
            <v>0</v>
          </cell>
          <cell r="T347">
            <v>0</v>
          </cell>
          <cell r="U347">
            <v>0</v>
          </cell>
        </row>
        <row r="348">
          <cell r="S348">
            <v>0</v>
          </cell>
          <cell r="T348">
            <v>0</v>
          </cell>
          <cell r="U348">
            <v>0</v>
          </cell>
        </row>
        <row r="349">
          <cell r="S349">
            <v>0</v>
          </cell>
          <cell r="T349">
            <v>0</v>
          </cell>
          <cell r="U349">
            <v>0</v>
          </cell>
        </row>
        <row r="350">
          <cell r="S350">
            <v>0</v>
          </cell>
          <cell r="T350">
            <v>0</v>
          </cell>
          <cell r="U350">
            <v>0</v>
          </cell>
        </row>
        <row r="351">
          <cell r="S351">
            <v>0</v>
          </cell>
          <cell r="T351">
            <v>0</v>
          </cell>
          <cell r="U351">
            <v>0</v>
          </cell>
        </row>
        <row r="352">
          <cell r="S352">
            <v>0</v>
          </cell>
          <cell r="T352">
            <v>0</v>
          </cell>
          <cell r="U352">
            <v>0</v>
          </cell>
        </row>
        <row r="353">
          <cell r="S353">
            <v>0</v>
          </cell>
          <cell r="T353">
            <v>0</v>
          </cell>
          <cell r="U353">
            <v>0</v>
          </cell>
        </row>
        <row r="354">
          <cell r="S354">
            <v>0</v>
          </cell>
          <cell r="T354">
            <v>0</v>
          </cell>
          <cell r="U354">
            <v>0</v>
          </cell>
        </row>
        <row r="355">
          <cell r="S355">
            <v>0</v>
          </cell>
          <cell r="T355">
            <v>0</v>
          </cell>
          <cell r="U355">
            <v>0</v>
          </cell>
        </row>
        <row r="356">
          <cell r="S356">
            <v>0</v>
          </cell>
          <cell r="T356">
            <v>0</v>
          </cell>
          <cell r="U356">
            <v>0</v>
          </cell>
        </row>
        <row r="357">
          <cell r="S357">
            <v>0</v>
          </cell>
          <cell r="T357">
            <v>0</v>
          </cell>
          <cell r="U357">
            <v>0</v>
          </cell>
        </row>
        <row r="358">
          <cell r="S358">
            <v>0</v>
          </cell>
          <cell r="T358">
            <v>0</v>
          </cell>
          <cell r="U358">
            <v>0</v>
          </cell>
        </row>
        <row r="359">
          <cell r="S359">
            <v>0</v>
          </cell>
          <cell r="T359">
            <v>0</v>
          </cell>
          <cell r="U359">
            <v>0</v>
          </cell>
        </row>
        <row r="360">
          <cell r="S360">
            <v>0</v>
          </cell>
          <cell r="T360">
            <v>0</v>
          </cell>
          <cell r="U360">
            <v>0</v>
          </cell>
        </row>
        <row r="361">
          <cell r="S361">
            <v>0</v>
          </cell>
          <cell r="T361">
            <v>0</v>
          </cell>
          <cell r="U361">
            <v>0</v>
          </cell>
        </row>
        <row r="362">
          <cell r="S362">
            <v>0</v>
          </cell>
          <cell r="T362">
            <v>0</v>
          </cell>
          <cell r="U362">
            <v>0</v>
          </cell>
        </row>
        <row r="363">
          <cell r="S363">
            <v>0</v>
          </cell>
          <cell r="T363">
            <v>0</v>
          </cell>
          <cell r="U363">
            <v>0</v>
          </cell>
        </row>
      </sheetData>
      <sheetData sheetId="64" refreshError="1"/>
      <sheetData sheetId="65" refreshError="1">
        <row r="4">
          <cell r="N4">
            <v>0.1125</v>
          </cell>
        </row>
        <row r="5">
          <cell r="N5">
            <v>0.1125</v>
          </cell>
        </row>
        <row r="6">
          <cell r="N6">
            <v>0.1125</v>
          </cell>
        </row>
        <row r="7">
          <cell r="N7">
            <v>0.1125</v>
          </cell>
        </row>
        <row r="8">
          <cell r="H8" t="str">
            <v>[Removed - 201612.E]</v>
          </cell>
          <cell r="I8" t="str">
            <v>[Removed - 201612.E]</v>
          </cell>
          <cell r="N8">
            <v>0.1125</v>
          </cell>
        </row>
        <row r="9">
          <cell r="N9">
            <v>0.1125</v>
          </cell>
        </row>
        <row r="10">
          <cell r="N10">
            <v>0.1125</v>
          </cell>
        </row>
        <row r="11">
          <cell r="N11">
            <v>0.1125</v>
          </cell>
        </row>
        <row r="12">
          <cell r="N12">
            <v>0.1125</v>
          </cell>
        </row>
        <row r="13">
          <cell r="N13">
            <v>0.1125</v>
          </cell>
        </row>
        <row r="14">
          <cell r="N14">
            <v>0.1125</v>
          </cell>
        </row>
        <row r="15">
          <cell r="N15">
            <v>0.1125</v>
          </cell>
        </row>
        <row r="16">
          <cell r="N16">
            <v>0.1105</v>
          </cell>
        </row>
        <row r="17">
          <cell r="N17">
            <v>0.1105</v>
          </cell>
        </row>
        <row r="18">
          <cell r="N18">
            <v>0.1105</v>
          </cell>
        </row>
        <row r="19">
          <cell r="N19">
            <v>0.1105</v>
          </cell>
        </row>
        <row r="20">
          <cell r="N20">
            <v>0.1105</v>
          </cell>
        </row>
        <row r="21">
          <cell r="N21">
            <v>0.1105</v>
          </cell>
        </row>
        <row r="22">
          <cell r="N22">
            <v>0.1105</v>
          </cell>
        </row>
        <row r="23">
          <cell r="N23">
            <v>0.1105</v>
          </cell>
        </row>
        <row r="24">
          <cell r="N24">
            <v>0.1105</v>
          </cell>
        </row>
        <row r="25">
          <cell r="A25" t="str">
            <v>de 11.25% del mes 1 al 37, de 11.50% del mes 38 al 73, de 11.75% del mes 74 en adelante</v>
          </cell>
          <cell r="N25">
            <v>0.1105</v>
          </cell>
        </row>
        <row r="26">
          <cell r="N26">
            <v>0.1105</v>
          </cell>
        </row>
        <row r="27">
          <cell r="N27">
            <v>0.1105</v>
          </cell>
        </row>
        <row r="28">
          <cell r="N28">
            <v>0.1085</v>
          </cell>
        </row>
        <row r="29">
          <cell r="N29">
            <v>0.1085</v>
          </cell>
        </row>
        <row r="30">
          <cell r="N30">
            <v>0.1085</v>
          </cell>
        </row>
        <row r="31">
          <cell r="N31">
            <v>0.1085</v>
          </cell>
        </row>
        <row r="32">
          <cell r="N32">
            <v>0.1085</v>
          </cell>
        </row>
        <row r="33">
          <cell r="N33">
            <v>0.1085</v>
          </cell>
        </row>
        <row r="34">
          <cell r="N34">
            <v>0.1085</v>
          </cell>
        </row>
        <row r="35">
          <cell r="N35">
            <v>0.1085</v>
          </cell>
        </row>
        <row r="36">
          <cell r="N36">
            <v>0.1085</v>
          </cell>
        </row>
        <row r="37">
          <cell r="N37">
            <v>0.1085</v>
          </cell>
        </row>
        <row r="38">
          <cell r="N38">
            <v>0.1085</v>
          </cell>
        </row>
        <row r="39">
          <cell r="N39">
            <v>0.1085</v>
          </cell>
        </row>
        <row r="40">
          <cell r="N40">
            <v>0.1065</v>
          </cell>
        </row>
        <row r="41">
          <cell r="N41">
            <v>0.1065</v>
          </cell>
        </row>
        <row r="42">
          <cell r="N42">
            <v>0.1065</v>
          </cell>
        </row>
        <row r="43">
          <cell r="N43">
            <v>0.1065</v>
          </cell>
        </row>
        <row r="44">
          <cell r="N44">
            <v>0.1065</v>
          </cell>
        </row>
        <row r="45">
          <cell r="N45">
            <v>0.1065</v>
          </cell>
        </row>
        <row r="46">
          <cell r="N46">
            <v>0.1065</v>
          </cell>
        </row>
        <row r="47">
          <cell r="N47">
            <v>0.1065</v>
          </cell>
        </row>
        <row r="48">
          <cell r="N48">
            <v>0.1065</v>
          </cell>
        </row>
        <row r="49">
          <cell r="N49">
            <v>0.1065</v>
          </cell>
        </row>
        <row r="50">
          <cell r="N50">
            <v>0.1065</v>
          </cell>
        </row>
        <row r="51">
          <cell r="N51">
            <v>0.1065</v>
          </cell>
        </row>
        <row r="52">
          <cell r="N52">
            <v>0.1045</v>
          </cell>
        </row>
        <row r="53">
          <cell r="N53">
            <v>0.1045</v>
          </cell>
        </row>
        <row r="54">
          <cell r="N54">
            <v>0.1045</v>
          </cell>
        </row>
        <row r="55">
          <cell r="N55">
            <v>0.1045</v>
          </cell>
        </row>
        <row r="56">
          <cell r="N56">
            <v>0.1045</v>
          </cell>
        </row>
        <row r="57">
          <cell r="N57">
            <v>0.1045</v>
          </cell>
        </row>
        <row r="58">
          <cell r="N58">
            <v>0.1045</v>
          </cell>
        </row>
        <row r="59">
          <cell r="N59">
            <v>0.1045</v>
          </cell>
        </row>
        <row r="60">
          <cell r="N60">
            <v>0.1045</v>
          </cell>
        </row>
        <row r="61">
          <cell r="N61">
            <v>0.1045</v>
          </cell>
        </row>
        <row r="62">
          <cell r="N62">
            <v>0.1045</v>
          </cell>
        </row>
        <row r="63">
          <cell r="N63">
            <v>0.1045</v>
          </cell>
        </row>
        <row r="64">
          <cell r="N64">
            <v>0.10249999999999999</v>
          </cell>
        </row>
        <row r="65">
          <cell r="N65">
            <v>0.10249999999999999</v>
          </cell>
        </row>
        <row r="66">
          <cell r="N66">
            <v>0.10249999999999999</v>
          </cell>
        </row>
        <row r="67">
          <cell r="N67">
            <v>0.10249999999999999</v>
          </cell>
        </row>
        <row r="68">
          <cell r="N68">
            <v>0.10249999999999999</v>
          </cell>
        </row>
        <row r="69">
          <cell r="N69">
            <v>0.10249999999999999</v>
          </cell>
        </row>
        <row r="70">
          <cell r="N70">
            <v>0.10249999999999999</v>
          </cell>
        </row>
        <row r="71">
          <cell r="N71">
            <v>0.10249999999999999</v>
          </cell>
        </row>
        <row r="72">
          <cell r="N72">
            <v>0.10249999999999999</v>
          </cell>
        </row>
        <row r="73">
          <cell r="N73">
            <v>0.10249999999999999</v>
          </cell>
        </row>
        <row r="74">
          <cell r="N74">
            <v>0.10249999999999999</v>
          </cell>
        </row>
        <row r="75">
          <cell r="N75">
            <v>0.10249999999999999</v>
          </cell>
        </row>
        <row r="76">
          <cell r="N76">
            <v>0.10049999999999999</v>
          </cell>
        </row>
        <row r="77">
          <cell r="N77">
            <v>0.10049999999999999</v>
          </cell>
        </row>
        <row r="78">
          <cell r="N78">
            <v>0.10049999999999999</v>
          </cell>
        </row>
        <row r="79">
          <cell r="N79">
            <v>0.10049999999999999</v>
          </cell>
        </row>
        <row r="80">
          <cell r="N80">
            <v>0.10049999999999999</v>
          </cell>
        </row>
        <row r="81">
          <cell r="N81">
            <v>0.10049999999999999</v>
          </cell>
        </row>
        <row r="82">
          <cell r="N82">
            <v>0.10049999999999999</v>
          </cell>
        </row>
        <row r="83">
          <cell r="N83">
            <v>0.10049999999999999</v>
          </cell>
        </row>
        <row r="84">
          <cell r="N84">
            <v>0.10049999999999999</v>
          </cell>
        </row>
        <row r="85">
          <cell r="N85">
            <v>0.10049999999999999</v>
          </cell>
        </row>
        <row r="86">
          <cell r="N86">
            <v>0.10049999999999999</v>
          </cell>
        </row>
        <row r="87">
          <cell r="N87">
            <v>0.10049999999999999</v>
          </cell>
        </row>
        <row r="88">
          <cell r="N88">
            <v>9.8500000000000004E-2</v>
          </cell>
        </row>
        <row r="89">
          <cell r="N89">
            <v>9.8500000000000004E-2</v>
          </cell>
        </row>
        <row r="90">
          <cell r="N90">
            <v>9.8500000000000004E-2</v>
          </cell>
        </row>
        <row r="91">
          <cell r="N91">
            <v>9.8500000000000004E-2</v>
          </cell>
        </row>
        <row r="92">
          <cell r="N92">
            <v>9.8500000000000004E-2</v>
          </cell>
        </row>
        <row r="93">
          <cell r="N93">
            <v>9.8500000000000004E-2</v>
          </cell>
        </row>
        <row r="94">
          <cell r="N94">
            <v>9.8500000000000004E-2</v>
          </cell>
        </row>
        <row r="95">
          <cell r="N95">
            <v>9.8500000000000004E-2</v>
          </cell>
        </row>
        <row r="96">
          <cell r="N96">
            <v>9.8500000000000004E-2</v>
          </cell>
        </row>
        <row r="97">
          <cell r="N97">
            <v>9.8500000000000004E-2</v>
          </cell>
        </row>
        <row r="98">
          <cell r="N98">
            <v>9.8500000000000004E-2</v>
          </cell>
        </row>
        <row r="99">
          <cell r="N99">
            <v>9.8500000000000004E-2</v>
          </cell>
        </row>
        <row r="100">
          <cell r="N100">
            <v>9.8500000000000004E-2</v>
          </cell>
        </row>
        <row r="101">
          <cell r="N101">
            <v>9.8500000000000004E-2</v>
          </cell>
        </row>
        <row r="102">
          <cell r="N102">
            <v>9.8500000000000004E-2</v>
          </cell>
        </row>
        <row r="103">
          <cell r="N103">
            <v>9.8500000000000004E-2</v>
          </cell>
        </row>
        <row r="104">
          <cell r="N104">
            <v>9.8500000000000004E-2</v>
          </cell>
        </row>
        <row r="105">
          <cell r="N105">
            <v>9.8500000000000004E-2</v>
          </cell>
        </row>
        <row r="106">
          <cell r="N106">
            <v>9.8500000000000004E-2</v>
          </cell>
        </row>
        <row r="107">
          <cell r="N107">
            <v>9.8500000000000004E-2</v>
          </cell>
        </row>
        <row r="108">
          <cell r="N108">
            <v>9.8500000000000004E-2</v>
          </cell>
        </row>
        <row r="109">
          <cell r="N109">
            <v>9.8500000000000004E-2</v>
          </cell>
        </row>
        <row r="110">
          <cell r="N110">
            <v>9.8500000000000004E-2</v>
          </cell>
        </row>
        <row r="111">
          <cell r="N111">
            <v>9.8500000000000004E-2</v>
          </cell>
        </row>
        <row r="112">
          <cell r="N112">
            <v>9.8500000000000004E-2</v>
          </cell>
        </row>
        <row r="113">
          <cell r="N113">
            <v>9.8500000000000004E-2</v>
          </cell>
        </row>
        <row r="114">
          <cell r="N114">
            <v>9.8500000000000004E-2</v>
          </cell>
        </row>
        <row r="115">
          <cell r="N115">
            <v>9.8500000000000004E-2</v>
          </cell>
        </row>
        <row r="116">
          <cell r="N116">
            <v>9.8500000000000004E-2</v>
          </cell>
        </row>
        <row r="117">
          <cell r="N117">
            <v>9.8500000000000004E-2</v>
          </cell>
        </row>
        <row r="118">
          <cell r="N118">
            <v>9.8500000000000004E-2</v>
          </cell>
        </row>
        <row r="119">
          <cell r="N119">
            <v>9.8500000000000004E-2</v>
          </cell>
        </row>
        <row r="120">
          <cell r="N120">
            <v>9.8500000000000004E-2</v>
          </cell>
        </row>
        <row r="121">
          <cell r="N121">
            <v>9.8500000000000004E-2</v>
          </cell>
        </row>
        <row r="122">
          <cell r="N122">
            <v>9.8500000000000004E-2</v>
          </cell>
        </row>
        <row r="123">
          <cell r="N123">
            <v>9.8500000000000004E-2</v>
          </cell>
        </row>
        <row r="124">
          <cell r="N124">
            <v>9.8500000000000004E-2</v>
          </cell>
        </row>
        <row r="125">
          <cell r="N125">
            <v>9.8500000000000004E-2</v>
          </cell>
        </row>
        <row r="126">
          <cell r="N126">
            <v>9.8500000000000004E-2</v>
          </cell>
        </row>
        <row r="127">
          <cell r="N127">
            <v>9.8500000000000004E-2</v>
          </cell>
        </row>
        <row r="128">
          <cell r="N128">
            <v>9.8500000000000004E-2</v>
          </cell>
        </row>
        <row r="129">
          <cell r="N129">
            <v>9.8500000000000004E-2</v>
          </cell>
        </row>
        <row r="130">
          <cell r="N130">
            <v>9.8500000000000004E-2</v>
          </cell>
        </row>
        <row r="131">
          <cell r="N131">
            <v>9.8500000000000004E-2</v>
          </cell>
        </row>
        <row r="132">
          <cell r="N132">
            <v>9.8500000000000004E-2</v>
          </cell>
        </row>
        <row r="133">
          <cell r="N133">
            <v>9.8500000000000004E-2</v>
          </cell>
        </row>
        <row r="134">
          <cell r="N134">
            <v>9.8500000000000004E-2</v>
          </cell>
        </row>
        <row r="135">
          <cell r="N135">
            <v>9.8500000000000004E-2</v>
          </cell>
        </row>
        <row r="136">
          <cell r="N136">
            <v>9.8500000000000004E-2</v>
          </cell>
        </row>
        <row r="137">
          <cell r="N137">
            <v>9.8500000000000004E-2</v>
          </cell>
        </row>
        <row r="138">
          <cell r="N138">
            <v>9.8500000000000004E-2</v>
          </cell>
        </row>
        <row r="139">
          <cell r="N139">
            <v>9.8500000000000004E-2</v>
          </cell>
        </row>
        <row r="140">
          <cell r="N140">
            <v>9.8500000000000004E-2</v>
          </cell>
        </row>
        <row r="141">
          <cell r="N141">
            <v>9.8500000000000004E-2</v>
          </cell>
        </row>
        <row r="142">
          <cell r="N142">
            <v>9.8500000000000004E-2</v>
          </cell>
        </row>
        <row r="143">
          <cell r="N143">
            <v>9.8500000000000004E-2</v>
          </cell>
        </row>
        <row r="144">
          <cell r="N144">
            <v>9.8500000000000004E-2</v>
          </cell>
        </row>
        <row r="145">
          <cell r="N145">
            <v>9.8500000000000004E-2</v>
          </cell>
        </row>
        <row r="146">
          <cell r="N146">
            <v>9.8500000000000004E-2</v>
          </cell>
        </row>
        <row r="147">
          <cell r="N147">
            <v>9.8500000000000004E-2</v>
          </cell>
        </row>
        <row r="148">
          <cell r="N148">
            <v>9.8500000000000004E-2</v>
          </cell>
        </row>
        <row r="149">
          <cell r="N149">
            <v>9.8500000000000004E-2</v>
          </cell>
        </row>
        <row r="150">
          <cell r="N150">
            <v>9.8500000000000004E-2</v>
          </cell>
        </row>
        <row r="151">
          <cell r="N151">
            <v>9.8500000000000004E-2</v>
          </cell>
        </row>
        <row r="152">
          <cell r="N152">
            <v>9.8500000000000004E-2</v>
          </cell>
        </row>
        <row r="153">
          <cell r="N153">
            <v>9.8500000000000004E-2</v>
          </cell>
        </row>
        <row r="154">
          <cell r="N154">
            <v>9.8500000000000004E-2</v>
          </cell>
        </row>
        <row r="155">
          <cell r="N155">
            <v>9.8500000000000004E-2</v>
          </cell>
        </row>
        <row r="156">
          <cell r="N156">
            <v>9.8500000000000004E-2</v>
          </cell>
        </row>
        <row r="157">
          <cell r="N157">
            <v>9.8500000000000004E-2</v>
          </cell>
        </row>
        <row r="158">
          <cell r="N158">
            <v>9.8500000000000004E-2</v>
          </cell>
        </row>
        <row r="159">
          <cell r="N159">
            <v>9.8500000000000004E-2</v>
          </cell>
        </row>
        <row r="160">
          <cell r="N160">
            <v>9.8500000000000004E-2</v>
          </cell>
        </row>
        <row r="161">
          <cell r="N161">
            <v>9.8500000000000004E-2</v>
          </cell>
        </row>
        <row r="162">
          <cell r="N162">
            <v>9.8500000000000004E-2</v>
          </cell>
        </row>
        <row r="163">
          <cell r="N163">
            <v>9.8500000000000004E-2</v>
          </cell>
        </row>
        <row r="164">
          <cell r="N164">
            <v>9.8500000000000004E-2</v>
          </cell>
        </row>
        <row r="165">
          <cell r="N165">
            <v>9.8500000000000004E-2</v>
          </cell>
        </row>
        <row r="166">
          <cell r="N166">
            <v>9.8500000000000004E-2</v>
          </cell>
        </row>
        <row r="167">
          <cell r="N167">
            <v>9.8500000000000004E-2</v>
          </cell>
        </row>
        <row r="168">
          <cell r="N168">
            <v>9.8500000000000004E-2</v>
          </cell>
        </row>
        <row r="169">
          <cell r="N169">
            <v>9.8500000000000004E-2</v>
          </cell>
        </row>
        <row r="170">
          <cell r="N170">
            <v>9.8500000000000004E-2</v>
          </cell>
        </row>
        <row r="171">
          <cell r="N171">
            <v>9.8500000000000004E-2</v>
          </cell>
        </row>
        <row r="172">
          <cell r="N172">
            <v>9.8500000000000004E-2</v>
          </cell>
        </row>
        <row r="173">
          <cell r="N173">
            <v>9.8500000000000004E-2</v>
          </cell>
        </row>
        <row r="174">
          <cell r="N174">
            <v>9.8500000000000004E-2</v>
          </cell>
        </row>
        <row r="175">
          <cell r="N175">
            <v>9.8500000000000004E-2</v>
          </cell>
        </row>
        <row r="176">
          <cell r="N176">
            <v>9.8500000000000004E-2</v>
          </cell>
        </row>
        <row r="177">
          <cell r="N177">
            <v>9.8500000000000004E-2</v>
          </cell>
        </row>
        <row r="178">
          <cell r="N178">
            <v>9.8500000000000004E-2</v>
          </cell>
        </row>
        <row r="179">
          <cell r="N179">
            <v>9.8500000000000004E-2</v>
          </cell>
        </row>
        <row r="180">
          <cell r="N180">
            <v>9.8500000000000004E-2</v>
          </cell>
        </row>
        <row r="181">
          <cell r="N181">
            <v>9.8500000000000004E-2</v>
          </cell>
        </row>
        <row r="182">
          <cell r="N182">
            <v>9.8500000000000004E-2</v>
          </cell>
        </row>
        <row r="183">
          <cell r="N183">
            <v>9.8500000000000004E-2</v>
          </cell>
        </row>
        <row r="184">
          <cell r="N184">
            <v>9.8500000000000004E-2</v>
          </cell>
        </row>
        <row r="185">
          <cell r="N185">
            <v>9.8500000000000004E-2</v>
          </cell>
        </row>
        <row r="186">
          <cell r="N186">
            <v>9.8500000000000004E-2</v>
          </cell>
        </row>
        <row r="187">
          <cell r="N187">
            <v>9.8500000000000004E-2</v>
          </cell>
        </row>
        <row r="188">
          <cell r="N188">
            <v>9.8500000000000004E-2</v>
          </cell>
        </row>
        <row r="189">
          <cell r="N189">
            <v>9.8500000000000004E-2</v>
          </cell>
        </row>
        <row r="190">
          <cell r="N190">
            <v>9.8500000000000004E-2</v>
          </cell>
        </row>
        <row r="191">
          <cell r="N191">
            <v>9.8500000000000004E-2</v>
          </cell>
        </row>
        <row r="192">
          <cell r="N192">
            <v>9.8500000000000004E-2</v>
          </cell>
        </row>
        <row r="193">
          <cell r="N193">
            <v>9.8500000000000004E-2</v>
          </cell>
        </row>
        <row r="194">
          <cell r="N194">
            <v>9.8500000000000004E-2</v>
          </cell>
        </row>
        <row r="195">
          <cell r="N195">
            <v>9.8500000000000004E-2</v>
          </cell>
        </row>
        <row r="196">
          <cell r="N196">
            <v>9.8500000000000004E-2</v>
          </cell>
        </row>
        <row r="197">
          <cell r="N197">
            <v>9.8500000000000004E-2</v>
          </cell>
        </row>
        <row r="198">
          <cell r="N198">
            <v>9.8500000000000004E-2</v>
          </cell>
        </row>
        <row r="199">
          <cell r="N199">
            <v>9.8500000000000004E-2</v>
          </cell>
        </row>
        <row r="200">
          <cell r="N200">
            <v>9.8500000000000004E-2</v>
          </cell>
        </row>
        <row r="201">
          <cell r="N201">
            <v>9.8500000000000004E-2</v>
          </cell>
        </row>
        <row r="202">
          <cell r="N202">
            <v>9.8500000000000004E-2</v>
          </cell>
        </row>
        <row r="203">
          <cell r="N203">
            <v>9.8500000000000004E-2</v>
          </cell>
        </row>
        <row r="204">
          <cell r="N204">
            <v>9.8500000000000004E-2</v>
          </cell>
        </row>
        <row r="205">
          <cell r="N205">
            <v>9.8500000000000004E-2</v>
          </cell>
        </row>
        <row r="206">
          <cell r="N206">
            <v>9.8500000000000004E-2</v>
          </cell>
        </row>
        <row r="207">
          <cell r="N207">
            <v>9.8500000000000004E-2</v>
          </cell>
        </row>
        <row r="208">
          <cell r="N208">
            <v>9.8500000000000004E-2</v>
          </cell>
        </row>
        <row r="209">
          <cell r="N209">
            <v>9.8500000000000004E-2</v>
          </cell>
        </row>
        <row r="210">
          <cell r="N210">
            <v>9.8500000000000004E-2</v>
          </cell>
        </row>
        <row r="211">
          <cell r="N211">
            <v>9.8500000000000004E-2</v>
          </cell>
        </row>
        <row r="212">
          <cell r="N212">
            <v>9.8500000000000004E-2</v>
          </cell>
        </row>
        <row r="213">
          <cell r="N213">
            <v>9.8500000000000004E-2</v>
          </cell>
        </row>
        <row r="214">
          <cell r="N214">
            <v>9.8500000000000004E-2</v>
          </cell>
        </row>
        <row r="215">
          <cell r="N215">
            <v>9.8500000000000004E-2</v>
          </cell>
        </row>
        <row r="216">
          <cell r="N216">
            <v>9.8500000000000004E-2</v>
          </cell>
        </row>
        <row r="217">
          <cell r="N217">
            <v>9.8500000000000004E-2</v>
          </cell>
        </row>
        <row r="218">
          <cell r="N218">
            <v>9.8500000000000004E-2</v>
          </cell>
        </row>
        <row r="219">
          <cell r="N219">
            <v>9.8500000000000004E-2</v>
          </cell>
        </row>
        <row r="220">
          <cell r="N220">
            <v>9.8500000000000004E-2</v>
          </cell>
        </row>
        <row r="221">
          <cell r="N221">
            <v>9.8500000000000004E-2</v>
          </cell>
        </row>
        <row r="222">
          <cell r="N222">
            <v>9.8500000000000004E-2</v>
          </cell>
        </row>
        <row r="223">
          <cell r="N223">
            <v>9.8500000000000004E-2</v>
          </cell>
        </row>
        <row r="224">
          <cell r="N224">
            <v>9.8500000000000004E-2</v>
          </cell>
        </row>
        <row r="225">
          <cell r="N225">
            <v>9.8500000000000004E-2</v>
          </cell>
        </row>
        <row r="226">
          <cell r="N226">
            <v>9.8500000000000004E-2</v>
          </cell>
        </row>
        <row r="227">
          <cell r="N227">
            <v>9.8500000000000004E-2</v>
          </cell>
        </row>
        <row r="228">
          <cell r="N228">
            <v>9.8500000000000004E-2</v>
          </cell>
        </row>
        <row r="229">
          <cell r="N229">
            <v>9.8500000000000004E-2</v>
          </cell>
        </row>
        <row r="230">
          <cell r="N230">
            <v>9.8500000000000004E-2</v>
          </cell>
        </row>
        <row r="231">
          <cell r="N231">
            <v>9.8500000000000004E-2</v>
          </cell>
        </row>
        <row r="232">
          <cell r="N232">
            <v>9.8500000000000004E-2</v>
          </cell>
        </row>
        <row r="233">
          <cell r="N233">
            <v>9.8500000000000004E-2</v>
          </cell>
        </row>
        <row r="234">
          <cell r="N234">
            <v>9.8500000000000004E-2</v>
          </cell>
        </row>
        <row r="235">
          <cell r="N235">
            <v>9.8500000000000004E-2</v>
          </cell>
        </row>
        <row r="236">
          <cell r="N236">
            <v>9.8500000000000004E-2</v>
          </cell>
        </row>
        <row r="237">
          <cell r="N237">
            <v>9.8500000000000004E-2</v>
          </cell>
        </row>
        <row r="238">
          <cell r="N238">
            <v>9.8500000000000004E-2</v>
          </cell>
        </row>
        <row r="239">
          <cell r="N239">
            <v>9.8500000000000004E-2</v>
          </cell>
        </row>
        <row r="240">
          <cell r="N240">
            <v>9.8500000000000004E-2</v>
          </cell>
        </row>
        <row r="241">
          <cell r="N241">
            <v>9.8500000000000004E-2</v>
          </cell>
        </row>
        <row r="242">
          <cell r="N242">
            <v>9.8500000000000004E-2</v>
          </cell>
        </row>
        <row r="243">
          <cell r="N243">
            <v>9.8500000000000004E-2</v>
          </cell>
        </row>
        <row r="244">
          <cell r="N244" t="str">
            <v/>
          </cell>
        </row>
        <row r="245">
          <cell r="N245" t="str">
            <v/>
          </cell>
        </row>
        <row r="246">
          <cell r="N246" t="str">
            <v/>
          </cell>
        </row>
        <row r="247">
          <cell r="N247" t="str">
            <v/>
          </cell>
        </row>
        <row r="248">
          <cell r="N248" t="str">
            <v/>
          </cell>
        </row>
        <row r="249">
          <cell r="N249" t="str">
            <v/>
          </cell>
        </row>
        <row r="250">
          <cell r="N250" t="str">
            <v/>
          </cell>
        </row>
        <row r="251">
          <cell r="N251" t="str">
            <v/>
          </cell>
        </row>
        <row r="252">
          <cell r="N252" t="str">
            <v/>
          </cell>
        </row>
        <row r="253">
          <cell r="N253" t="str">
            <v/>
          </cell>
        </row>
        <row r="254">
          <cell r="N254" t="str">
            <v/>
          </cell>
        </row>
        <row r="255">
          <cell r="N255" t="str">
            <v/>
          </cell>
        </row>
        <row r="256">
          <cell r="N256" t="str">
            <v/>
          </cell>
        </row>
        <row r="257">
          <cell r="N257" t="str">
            <v/>
          </cell>
        </row>
        <row r="258">
          <cell r="N258" t="str">
            <v/>
          </cell>
        </row>
        <row r="259">
          <cell r="N259" t="str">
            <v/>
          </cell>
        </row>
        <row r="260">
          <cell r="N260" t="str">
            <v/>
          </cell>
        </row>
        <row r="261">
          <cell r="N261" t="str">
            <v/>
          </cell>
        </row>
        <row r="262">
          <cell r="N262" t="str">
            <v/>
          </cell>
        </row>
        <row r="263">
          <cell r="N263" t="str">
            <v/>
          </cell>
        </row>
        <row r="264">
          <cell r="N264" t="str">
            <v/>
          </cell>
        </row>
        <row r="265">
          <cell r="N265" t="str">
            <v/>
          </cell>
        </row>
        <row r="266">
          <cell r="N266" t="str">
            <v/>
          </cell>
        </row>
        <row r="267">
          <cell r="N267" t="str">
            <v/>
          </cell>
        </row>
        <row r="268">
          <cell r="N268" t="str">
            <v/>
          </cell>
        </row>
        <row r="269">
          <cell r="N269" t="str">
            <v/>
          </cell>
        </row>
        <row r="270">
          <cell r="N270" t="str">
            <v/>
          </cell>
        </row>
        <row r="271">
          <cell r="N271" t="str">
            <v/>
          </cell>
        </row>
        <row r="272">
          <cell r="N272" t="str">
            <v/>
          </cell>
        </row>
        <row r="273">
          <cell r="N273" t="str">
            <v/>
          </cell>
        </row>
        <row r="274">
          <cell r="N274" t="str">
            <v/>
          </cell>
        </row>
        <row r="275">
          <cell r="N275" t="str">
            <v/>
          </cell>
        </row>
        <row r="276">
          <cell r="N276" t="str">
            <v/>
          </cell>
        </row>
        <row r="277">
          <cell r="N277" t="str">
            <v/>
          </cell>
        </row>
        <row r="278">
          <cell r="N278" t="str">
            <v/>
          </cell>
        </row>
        <row r="279">
          <cell r="N279" t="str">
            <v/>
          </cell>
        </row>
        <row r="280">
          <cell r="N280" t="str">
            <v/>
          </cell>
        </row>
        <row r="281">
          <cell r="N281" t="str">
            <v/>
          </cell>
        </row>
        <row r="282">
          <cell r="N282" t="str">
            <v/>
          </cell>
        </row>
        <row r="283">
          <cell r="N283" t="str">
            <v/>
          </cell>
        </row>
        <row r="284">
          <cell r="N284" t="str">
            <v/>
          </cell>
        </row>
        <row r="285">
          <cell r="N285" t="str">
            <v/>
          </cell>
        </row>
        <row r="286">
          <cell r="N286" t="str">
            <v/>
          </cell>
        </row>
        <row r="287">
          <cell r="N287" t="str">
            <v/>
          </cell>
        </row>
        <row r="288">
          <cell r="N288" t="str">
            <v/>
          </cell>
        </row>
        <row r="289">
          <cell r="N289" t="str">
            <v/>
          </cell>
        </row>
        <row r="290">
          <cell r="N290" t="str">
            <v/>
          </cell>
        </row>
        <row r="291">
          <cell r="N291" t="str">
            <v/>
          </cell>
        </row>
        <row r="292">
          <cell r="N292" t="str">
            <v/>
          </cell>
        </row>
        <row r="293">
          <cell r="N293" t="str">
            <v/>
          </cell>
        </row>
        <row r="294">
          <cell r="N294" t="str">
            <v/>
          </cell>
        </row>
        <row r="295">
          <cell r="N295" t="str">
            <v/>
          </cell>
        </row>
        <row r="296">
          <cell r="N296" t="str">
            <v/>
          </cell>
        </row>
        <row r="297">
          <cell r="N297" t="str">
            <v/>
          </cell>
        </row>
        <row r="298">
          <cell r="N298" t="str">
            <v/>
          </cell>
        </row>
        <row r="299">
          <cell r="N299" t="str">
            <v/>
          </cell>
        </row>
        <row r="300">
          <cell r="N300" t="str">
            <v/>
          </cell>
        </row>
        <row r="301">
          <cell r="N301" t="str">
            <v/>
          </cell>
        </row>
        <row r="302">
          <cell r="N302" t="str">
            <v/>
          </cell>
        </row>
        <row r="303">
          <cell r="N303" t="str">
            <v/>
          </cell>
        </row>
        <row r="304">
          <cell r="N304" t="str">
            <v/>
          </cell>
        </row>
        <row r="305">
          <cell r="N305" t="str">
            <v/>
          </cell>
        </row>
        <row r="306">
          <cell r="N306" t="str">
            <v/>
          </cell>
        </row>
        <row r="307">
          <cell r="N307" t="str">
            <v/>
          </cell>
        </row>
        <row r="308">
          <cell r="N308" t="str">
            <v/>
          </cell>
        </row>
        <row r="309">
          <cell r="N309" t="str">
            <v/>
          </cell>
        </row>
        <row r="310">
          <cell r="N310" t="str">
            <v/>
          </cell>
        </row>
        <row r="311">
          <cell r="N311" t="str">
            <v/>
          </cell>
        </row>
        <row r="312">
          <cell r="N312" t="str">
            <v/>
          </cell>
        </row>
        <row r="313">
          <cell r="N313" t="str">
            <v/>
          </cell>
        </row>
        <row r="314">
          <cell r="N314" t="str">
            <v/>
          </cell>
        </row>
        <row r="315">
          <cell r="N315" t="str">
            <v/>
          </cell>
        </row>
        <row r="316">
          <cell r="N316" t="str">
            <v/>
          </cell>
        </row>
        <row r="317">
          <cell r="N317" t="str">
            <v/>
          </cell>
        </row>
        <row r="318">
          <cell r="N318" t="str">
            <v/>
          </cell>
        </row>
        <row r="319">
          <cell r="N319" t="str">
            <v/>
          </cell>
        </row>
        <row r="320">
          <cell r="N320" t="str">
            <v/>
          </cell>
        </row>
        <row r="321">
          <cell r="N321" t="str">
            <v/>
          </cell>
        </row>
        <row r="322">
          <cell r="N322" t="str">
            <v/>
          </cell>
        </row>
        <row r="323">
          <cell r="N323" t="str">
            <v/>
          </cell>
        </row>
        <row r="324">
          <cell r="N324" t="str">
            <v/>
          </cell>
        </row>
        <row r="325">
          <cell r="N325" t="str">
            <v/>
          </cell>
        </row>
        <row r="326">
          <cell r="N326" t="str">
            <v/>
          </cell>
        </row>
        <row r="327">
          <cell r="N327" t="str">
            <v/>
          </cell>
        </row>
        <row r="328">
          <cell r="N328" t="str">
            <v/>
          </cell>
        </row>
        <row r="329">
          <cell r="N329" t="str">
            <v/>
          </cell>
        </row>
        <row r="330">
          <cell r="N330" t="str">
            <v/>
          </cell>
        </row>
        <row r="331">
          <cell r="N331" t="str">
            <v/>
          </cell>
        </row>
        <row r="332">
          <cell r="N332" t="str">
            <v/>
          </cell>
        </row>
        <row r="333">
          <cell r="N333" t="str">
            <v/>
          </cell>
        </row>
        <row r="334">
          <cell r="N334" t="str">
            <v/>
          </cell>
        </row>
        <row r="335">
          <cell r="N335" t="str">
            <v/>
          </cell>
        </row>
        <row r="336">
          <cell r="N336" t="str">
            <v/>
          </cell>
        </row>
        <row r="337">
          <cell r="N337" t="str">
            <v/>
          </cell>
        </row>
        <row r="338">
          <cell r="N338" t="str">
            <v/>
          </cell>
        </row>
        <row r="339">
          <cell r="N339" t="str">
            <v/>
          </cell>
        </row>
        <row r="340">
          <cell r="N340" t="str">
            <v/>
          </cell>
        </row>
        <row r="341">
          <cell r="N341" t="str">
            <v/>
          </cell>
        </row>
        <row r="342">
          <cell r="N342" t="str">
            <v/>
          </cell>
        </row>
        <row r="343">
          <cell r="N343" t="str">
            <v/>
          </cell>
        </row>
        <row r="344">
          <cell r="N344" t="str">
            <v/>
          </cell>
        </row>
        <row r="345">
          <cell r="N345" t="str">
            <v/>
          </cell>
        </row>
        <row r="346">
          <cell r="N346" t="str">
            <v/>
          </cell>
        </row>
        <row r="347">
          <cell r="N347" t="str">
            <v/>
          </cell>
        </row>
        <row r="348">
          <cell r="N348" t="str">
            <v/>
          </cell>
        </row>
        <row r="349">
          <cell r="N349" t="str">
            <v/>
          </cell>
        </row>
        <row r="350">
          <cell r="N350" t="str">
            <v/>
          </cell>
        </row>
        <row r="351">
          <cell r="N351" t="str">
            <v/>
          </cell>
        </row>
        <row r="352">
          <cell r="N352" t="str">
            <v/>
          </cell>
        </row>
        <row r="353">
          <cell r="N353" t="str">
            <v/>
          </cell>
        </row>
        <row r="354">
          <cell r="N354" t="str">
            <v/>
          </cell>
        </row>
        <row r="355">
          <cell r="N355" t="str">
            <v/>
          </cell>
        </row>
        <row r="356">
          <cell r="N356" t="str">
            <v/>
          </cell>
        </row>
        <row r="357">
          <cell r="N357" t="str">
            <v/>
          </cell>
        </row>
        <row r="358">
          <cell r="N358" t="str">
            <v/>
          </cell>
        </row>
        <row r="359">
          <cell r="N359" t="str">
            <v/>
          </cell>
        </row>
        <row r="360">
          <cell r="N360" t="str">
            <v/>
          </cell>
        </row>
        <row r="361">
          <cell r="N361" t="str">
            <v/>
          </cell>
        </row>
        <row r="362">
          <cell r="N362" t="str">
            <v/>
          </cell>
        </row>
        <row r="363">
          <cell r="N363" t="str">
            <v/>
          </cell>
        </row>
      </sheetData>
      <sheetData sheetId="66" refreshError="1">
        <row r="1">
          <cell r="A1">
            <v>2</v>
          </cell>
          <cell r="D1">
            <v>2</v>
          </cell>
        </row>
        <row r="2">
          <cell r="A2">
            <v>1</v>
          </cell>
          <cell r="D2">
            <v>1</v>
          </cell>
        </row>
        <row r="3">
          <cell r="A3">
            <v>2</v>
          </cell>
        </row>
      </sheetData>
      <sheetData sheetId="67" refreshError="1">
        <row r="1">
          <cell r="A1">
            <v>1</v>
          </cell>
        </row>
        <row r="2">
          <cell r="A2">
            <v>1</v>
          </cell>
        </row>
        <row r="3">
          <cell r="A3">
            <v>2</v>
          </cell>
        </row>
        <row r="4">
          <cell r="A4">
            <v>3</v>
          </cell>
        </row>
        <row r="5">
          <cell r="A5">
            <v>4</v>
          </cell>
        </row>
      </sheetData>
      <sheetData sheetId="68" refreshError="1">
        <row r="9">
          <cell r="B9">
            <v>80.599999999999994</v>
          </cell>
        </row>
        <row r="10">
          <cell r="B10" t="str">
            <v>UMA</v>
          </cell>
        </row>
        <row r="12">
          <cell r="B12">
            <v>30.4</v>
          </cell>
        </row>
        <row r="13">
          <cell r="B13">
            <v>5.3820399999999999</v>
          </cell>
        </row>
        <row r="14">
          <cell r="B14">
            <v>2000000</v>
          </cell>
        </row>
        <row r="15">
          <cell r="B15">
            <v>10764080</v>
          </cell>
        </row>
      </sheetData>
      <sheetData sheetId="69" refreshError="1">
        <row r="2">
          <cell r="A2">
            <v>0.05</v>
          </cell>
        </row>
        <row r="6">
          <cell r="C6">
            <v>0</v>
          </cell>
          <cell r="D6">
            <v>0</v>
          </cell>
        </row>
        <row r="9">
          <cell r="A9">
            <v>2.8</v>
          </cell>
          <cell r="C9">
            <v>0</v>
          </cell>
          <cell r="D9" t="b">
            <v>0</v>
          </cell>
        </row>
        <row r="11">
          <cell r="C11">
            <v>0</v>
          </cell>
          <cell r="D11" t="b">
            <v>0</v>
          </cell>
          <cell r="E11">
            <v>0</v>
          </cell>
        </row>
        <row r="12">
          <cell r="E12">
            <v>0</v>
          </cell>
        </row>
        <row r="19">
          <cell r="I19">
            <v>418991.04</v>
          </cell>
          <cell r="J19">
            <v>418991.04</v>
          </cell>
        </row>
        <row r="22">
          <cell r="C22">
            <v>441043.1999999999</v>
          </cell>
          <cell r="D22">
            <v>441043.1999999999</v>
          </cell>
        </row>
        <row r="25">
          <cell r="A25">
            <v>3.25</v>
          </cell>
          <cell r="B25">
            <v>7963.28</v>
          </cell>
          <cell r="C25">
            <v>201.43</v>
          </cell>
        </row>
        <row r="26">
          <cell r="A26">
            <v>7</v>
          </cell>
          <cell r="B26">
            <v>17151.689999999999</v>
          </cell>
          <cell r="C26">
            <v>271.69</v>
          </cell>
        </row>
        <row r="27">
          <cell r="A27">
            <v>11</v>
          </cell>
          <cell r="B27">
            <v>26952.66</v>
          </cell>
          <cell r="C27">
            <v>374.74</v>
          </cell>
        </row>
        <row r="30">
          <cell r="C30" t="str">
            <v>Captura Incompleta</v>
          </cell>
        </row>
        <row r="34">
          <cell r="G34">
            <v>0</v>
          </cell>
        </row>
        <row r="41">
          <cell r="F41">
            <v>0</v>
          </cell>
        </row>
        <row r="62">
          <cell r="C62">
            <v>406.77</v>
          </cell>
        </row>
      </sheetData>
      <sheetData sheetId="70" refreshError="1">
        <row r="8">
          <cell r="B8">
            <v>0</v>
          </cell>
          <cell r="C8">
            <v>65000.01</v>
          </cell>
        </row>
        <row r="9">
          <cell r="B9" t="str">
            <v>$0.00</v>
          </cell>
          <cell r="C9" t="str">
            <v>$16,240.00</v>
          </cell>
        </row>
        <row r="13">
          <cell r="B13" t="str">
            <v>0.20 %</v>
          </cell>
        </row>
        <row r="18">
          <cell r="B18" t="str">
            <v>Avalúo 0.20 % más I.V.A.</v>
          </cell>
        </row>
        <row r="19">
          <cell r="B19" t="str">
            <v>Comisión por Avalúo 0.20 % más I.V.A.</v>
          </cell>
        </row>
        <row r="25">
          <cell r="B25" t="str">
            <v>2 al millar más I.V.A.</v>
          </cell>
        </row>
        <row r="33">
          <cell r="B33" t="str">
            <v>Investigación I.V.A. Incluido</v>
          </cell>
        </row>
        <row r="34">
          <cell r="B34" t="str">
            <v>Comisión por Investigación I.V.A. Incluido</v>
          </cell>
        </row>
        <row r="45">
          <cell r="B45" t="str">
            <v>Comisión por Apertura</v>
          </cell>
        </row>
        <row r="46">
          <cell r="B46" t="str">
            <v>Contado</v>
          </cell>
        </row>
        <row r="48">
          <cell r="B48" t="str">
            <v>Apertura 1.00%</v>
          </cell>
        </row>
        <row r="50">
          <cell r="B50" t="str">
            <v>Apertura 1.00%</v>
          </cell>
        </row>
        <row r="55">
          <cell r="B55" t="str">
            <v>$65,000.01</v>
          </cell>
        </row>
        <row r="57">
          <cell r="B57" t="str">
            <v>Comisión por Apertura 1.00%</v>
          </cell>
        </row>
        <row r="58">
          <cell r="B58" t="str">
            <v>$0.00</v>
          </cell>
        </row>
      </sheetData>
      <sheetData sheetId="71" refreshError="1"/>
      <sheetData sheetId="7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Notariales"/>
      <sheetName val="COFFEE"/>
      <sheetName val="Carátula"/>
      <sheetName val="Tabla Notaría"/>
      <sheetName val="BASIC {G}"/>
      <sheetName val="MESH_1"/>
      <sheetName val="DESARROLLADORES"/>
      <sheetName val="COFINAVIT"/>
      <sheetName val="COFINAVIT-ENGINE"/>
      <sheetName val="ROOT"/>
      <sheetName val="COM_AVALUO"/>
      <sheetName val="GASNOT"/>
      <sheetName val="GASNOT.Tarifa"/>
      <sheetName val="FECHAS_PAGO"/>
      <sheetName val="AportPat"/>
      <sheetName val="Abonos"/>
      <sheetName val="ACCESORIOS"/>
      <sheetName val="TAG"/>
      <sheetName val="ACCS_CAT"/>
      <sheetName val="TAG_CAT"/>
    </sheetNames>
    <sheetDataSet>
      <sheetData sheetId="0"/>
      <sheetData sheetId="1"/>
      <sheetData sheetId="2">
        <row r="1">
          <cell r="A1" t="str">
            <v>C</v>
          </cell>
          <cell r="B1" t="str">
            <v>K0</v>
          </cell>
          <cell r="C1" t="str">
            <v>F</v>
          </cell>
          <cell r="D1" t="str">
            <v>E</v>
          </cell>
        </row>
        <row r="2">
          <cell r="A2" t="str">
            <v>Generales</v>
          </cell>
          <cell r="B2" t="str">
            <v>Meses en Año</v>
          </cell>
          <cell r="C2" t="str">
            <v>Valor</v>
          </cell>
          <cell r="D2">
            <v>12</v>
          </cell>
        </row>
        <row r="3">
          <cell r="A3" t="str">
            <v>Generales</v>
          </cell>
          <cell r="B3" t="str">
            <v>Base para Días por Periodo</v>
          </cell>
          <cell r="C3" t="str">
            <v>Valor</v>
          </cell>
          <cell r="D3">
            <v>365</v>
          </cell>
        </row>
        <row r="4">
          <cell r="A4" t="str">
            <v>Generales</v>
          </cell>
          <cell r="B4" t="str">
            <v>Aforo Máximo Tradicional</v>
          </cell>
          <cell r="C4" t="str">
            <v>Valor</v>
          </cell>
          <cell r="D4">
            <v>0.9</v>
          </cell>
        </row>
        <row r="5">
          <cell r="A5" t="str">
            <v>Generales</v>
          </cell>
          <cell r="B5" t="str">
            <v>Tasa Desarrolladores</v>
          </cell>
          <cell r="C5" t="str">
            <v>Valor</v>
          </cell>
          <cell r="D5">
            <v>9.9000000000000005E-2</v>
          </cell>
        </row>
        <row r="6">
          <cell r="A6" t="str">
            <v>Generales</v>
          </cell>
          <cell r="B6" t="str">
            <v>Mostrar Seg Desemp Banorte</v>
          </cell>
          <cell r="C6" t="str">
            <v>Valor</v>
          </cell>
          <cell r="D6" t="b">
            <v>0</v>
          </cell>
        </row>
        <row r="7">
          <cell r="A7" t="str">
            <v>Generales</v>
          </cell>
          <cell r="B7" t="str">
            <v>Valor Vivienda Mínimo</v>
          </cell>
          <cell r="C7" t="str">
            <v>Valor</v>
          </cell>
          <cell r="D7">
            <v>350000</v>
          </cell>
        </row>
        <row r="8">
          <cell r="A8" t="str">
            <v>Generales</v>
          </cell>
          <cell r="B8" t="str">
            <v>Monto Crédito Mínimo</v>
          </cell>
          <cell r="C8" t="str">
            <v>Valor</v>
          </cell>
          <cell r="D8">
            <v>75000</v>
          </cell>
        </row>
        <row r="9">
          <cell r="A9" t="str">
            <v>Generales</v>
          </cell>
          <cell r="B9" t="str">
            <v>Com Investigación con IVA</v>
          </cell>
          <cell r="C9" t="str">
            <v>Valor</v>
          </cell>
          <cell r="D9">
            <v>750</v>
          </cell>
        </row>
        <row r="10">
          <cell r="A10" t="str">
            <v>Generales</v>
          </cell>
          <cell r="B10" t="str">
            <v>Com Diferida</v>
          </cell>
          <cell r="C10" t="str">
            <v>Valor</v>
          </cell>
          <cell r="D10">
            <v>349</v>
          </cell>
        </row>
        <row r="11">
          <cell r="A11" t="str">
            <v>Generales</v>
          </cell>
          <cell r="B11" t="str">
            <v>Com Apertura</v>
          </cell>
          <cell r="C11" t="str">
            <v>Valor</v>
          </cell>
          <cell r="D11">
            <v>0.01</v>
          </cell>
        </row>
        <row r="12">
          <cell r="A12" t="str">
            <v>Generales</v>
          </cell>
          <cell r="B12" t="str">
            <v>Iva Comisiones</v>
          </cell>
          <cell r="C12" t="str">
            <v>Valor</v>
          </cell>
          <cell r="D12">
            <v>0.16</v>
          </cell>
        </row>
        <row r="13">
          <cell r="A13" t="str">
            <v>Generales</v>
          </cell>
          <cell r="B13" t="str">
            <v>Días por Periodo</v>
          </cell>
          <cell r="C13" t="str">
            <v>Valor</v>
          </cell>
          <cell r="D13">
            <v>30.4</v>
          </cell>
        </row>
        <row r="14">
          <cell r="A14" t="str">
            <v>Generales</v>
          </cell>
          <cell r="B14" t="str">
            <v>Periodos por Año</v>
          </cell>
          <cell r="C14" t="str">
            <v>Valor</v>
          </cell>
          <cell r="D14">
            <v>12</v>
          </cell>
        </row>
        <row r="15">
          <cell r="A15" t="str">
            <v>Generales</v>
          </cell>
          <cell r="B15" t="str">
            <v>Día Mes Pago</v>
          </cell>
          <cell r="C15" t="str">
            <v>Valor</v>
          </cell>
          <cell r="D15">
            <v>3</v>
          </cell>
        </row>
        <row r="16">
          <cell r="A16" t="str">
            <v>Generales</v>
          </cell>
          <cell r="B16" t="str">
            <v>Factor Ingreso-Pago</v>
          </cell>
          <cell r="C16" t="str">
            <v>Valor</v>
          </cell>
          <cell r="D16">
            <v>2</v>
          </cell>
        </row>
        <row r="17">
          <cell r="A17"/>
          <cell r="B17"/>
          <cell r="C17"/>
          <cell r="D17"/>
        </row>
        <row r="18">
          <cell r="A18" t="str">
            <v>Generales</v>
          </cell>
          <cell r="B18" t="str">
            <v>Factor SMM</v>
          </cell>
          <cell r="C18" t="str">
            <v>Valor</v>
          </cell>
          <cell r="D18">
            <v>30.4</v>
          </cell>
        </row>
        <row r="19">
          <cell r="D19"/>
        </row>
        <row r="20">
          <cell r="A20" t="str">
            <v>Generales</v>
          </cell>
          <cell r="B20" t="str">
            <v>UMA'18</v>
          </cell>
          <cell r="C20" t="str">
            <v>Valor</v>
          </cell>
          <cell r="D20">
            <v>80.599999999999994</v>
          </cell>
        </row>
        <row r="21">
          <cell r="A21" t="str">
            <v>Generales</v>
          </cell>
          <cell r="B21" t="str">
            <v>UMA'19</v>
          </cell>
          <cell r="C21" t="str">
            <v>Valor</v>
          </cell>
          <cell r="D21">
            <v>84.49</v>
          </cell>
        </row>
        <row r="22">
          <cell r="D22"/>
        </row>
        <row r="23">
          <cell r="A23" t="str">
            <v>Generales</v>
          </cell>
          <cell r="B23" t="str">
            <v>Ingreso Mínimo</v>
          </cell>
          <cell r="C23" t="str">
            <v>Veces</v>
          </cell>
          <cell r="D23">
            <v>98.8</v>
          </cell>
        </row>
        <row r="24">
          <cell r="A24" t="str">
            <v>Generales</v>
          </cell>
          <cell r="B24" t="str">
            <v>Ingreso Mínimo</v>
          </cell>
          <cell r="C24" t="str">
            <v>Unidad</v>
          </cell>
          <cell r="D24" t="str">
            <v>UMA'19</v>
          </cell>
        </row>
        <row r="25">
          <cell r="C25"/>
          <cell r="D25"/>
        </row>
        <row r="26">
          <cell r="A26" t="str">
            <v>Opción Reducción</v>
          </cell>
          <cell r="B26" t="str">
            <v>Reduce Plazo y Pago</v>
          </cell>
          <cell r="C26" t="str">
            <v>Tipo Capital</v>
          </cell>
          <cell r="D26">
            <v>1</v>
          </cell>
        </row>
        <row r="27">
          <cell r="A27" t="str">
            <v>Opción Reducción</v>
          </cell>
          <cell r="B27" t="str">
            <v>Reduce Pago</v>
          </cell>
          <cell r="C27" t="str">
            <v>Tipo Capital</v>
          </cell>
          <cell r="D27">
            <v>2</v>
          </cell>
        </row>
        <row r="28">
          <cell r="A28" t="str">
            <v>Opción Reducción</v>
          </cell>
          <cell r="B28" t="str">
            <v>Reduce Plazo</v>
          </cell>
          <cell r="C28" t="str">
            <v>Tipo Capital</v>
          </cell>
          <cell r="D28">
            <v>3</v>
          </cell>
        </row>
        <row r="29">
          <cell r="D29"/>
        </row>
        <row r="30">
          <cell r="A30" t="str">
            <v>Aportación Patronal</v>
          </cell>
          <cell r="B30" t="str">
            <v>Apoyo Infonavit</v>
          </cell>
          <cell r="C30" t="str">
            <v>Porcentaje</v>
          </cell>
          <cell r="D30">
            <v>0.05</v>
          </cell>
        </row>
        <row r="31">
          <cell r="A31" t="str">
            <v>Aportación Patronal</v>
          </cell>
          <cell r="B31" t="str">
            <v>Apoyo Infonavit</v>
          </cell>
          <cell r="C31" t="str">
            <v>Frecuencia</v>
          </cell>
          <cell r="D31">
            <v>2</v>
          </cell>
        </row>
        <row r="32">
          <cell r="A32" t="str">
            <v>Aportación Patronal</v>
          </cell>
          <cell r="B32" t="str">
            <v>Apoyo Infonavit</v>
          </cell>
          <cell r="C32" t="str">
            <v>Tope</v>
          </cell>
          <cell r="D32">
            <v>6125.6</v>
          </cell>
        </row>
        <row r="33">
          <cell r="D33"/>
        </row>
        <row r="34">
          <cell r="A34" t="str">
            <v>Programa</v>
          </cell>
          <cell r="B34" t="str">
            <v>Tradicional</v>
          </cell>
          <cell r="C34" t="str">
            <v>Requiere Ingreso</v>
          </cell>
          <cell r="D34" t="b">
            <v>0</v>
          </cell>
        </row>
        <row r="35">
          <cell r="A35" t="str">
            <v>Programa</v>
          </cell>
          <cell r="B35" t="str">
            <v>Apoyo Infonavit</v>
          </cell>
          <cell r="C35" t="str">
            <v>Requiere Ingreso</v>
          </cell>
          <cell r="D35" t="b">
            <v>1</v>
          </cell>
        </row>
        <row r="36">
          <cell r="A36" t="str">
            <v>Programa</v>
          </cell>
          <cell r="B36" t="str">
            <v>Cofinavit</v>
          </cell>
          <cell r="C36" t="str">
            <v>Requiere Ingreso</v>
          </cell>
          <cell r="D36" t="b">
            <v>1</v>
          </cell>
        </row>
        <row r="37">
          <cell r="A37" t="str">
            <v>Programa</v>
          </cell>
          <cell r="B37" t="str">
            <v>Tradicional</v>
          </cell>
          <cell r="C37" t="str">
            <v>Captura Crédito</v>
          </cell>
          <cell r="D37" t="b">
            <v>1</v>
          </cell>
        </row>
        <row r="38">
          <cell r="A38" t="str">
            <v>Programa</v>
          </cell>
          <cell r="B38" t="str">
            <v>Apoyo Infonavit</v>
          </cell>
          <cell r="C38" t="str">
            <v>Captura Crédito</v>
          </cell>
          <cell r="D38" t="b">
            <v>1</v>
          </cell>
        </row>
        <row r="39">
          <cell r="A39" t="str">
            <v>Programa</v>
          </cell>
          <cell r="B39" t="str">
            <v>Cofinavit</v>
          </cell>
          <cell r="C39" t="str">
            <v>Captura Crédito</v>
          </cell>
          <cell r="D39" t="b">
            <v>0</v>
          </cell>
        </row>
        <row r="40">
          <cell r="A40" t="str">
            <v>Programa</v>
          </cell>
          <cell r="B40" t="str">
            <v>Apoyo Infonavit</v>
          </cell>
          <cell r="C40" t="str">
            <v>Aforo Máximo</v>
          </cell>
          <cell r="D40">
            <v>0.95</v>
          </cell>
        </row>
        <row r="41">
          <cell r="A41" t="str">
            <v>Programa</v>
          </cell>
          <cell r="B41" t="str">
            <v>Cofinavit</v>
          </cell>
          <cell r="C41" t="str">
            <v>Aforo Máximo</v>
          </cell>
          <cell r="D41">
            <v>0.95</v>
          </cell>
        </row>
        <row r="42">
          <cell r="D42"/>
        </row>
        <row r="43">
          <cell r="A43" t="str">
            <v>Aforos</v>
          </cell>
          <cell r="B43">
            <v>0.5</v>
          </cell>
          <cell r="C43">
            <v>0.5</v>
          </cell>
          <cell r="D43"/>
        </row>
        <row r="44">
          <cell r="A44" t="str">
            <v>Aforos</v>
          </cell>
          <cell r="B44">
            <v>0.6</v>
          </cell>
          <cell r="C44">
            <v>0.6</v>
          </cell>
          <cell r="D44"/>
        </row>
        <row r="45">
          <cell r="A45" t="str">
            <v>Aforos</v>
          </cell>
          <cell r="B45">
            <v>0.7</v>
          </cell>
          <cell r="C45">
            <v>0.7</v>
          </cell>
          <cell r="D45"/>
        </row>
        <row r="46">
          <cell r="A46" t="str">
            <v>Aforos</v>
          </cell>
          <cell r="B46">
            <v>0.79999999999999993</v>
          </cell>
          <cell r="C46">
            <v>0.79999999999999993</v>
          </cell>
          <cell r="D46"/>
        </row>
        <row r="47">
          <cell r="A47" t="str">
            <v>Aforos</v>
          </cell>
          <cell r="B47">
            <v>0.9</v>
          </cell>
          <cell r="C47">
            <v>0.9</v>
          </cell>
          <cell r="D47"/>
        </row>
        <row r="48">
          <cell r="A48" t="str">
            <v>Aforos</v>
          </cell>
          <cell r="B48">
            <v>0.95</v>
          </cell>
          <cell r="C48">
            <v>0.95</v>
          </cell>
          <cell r="D48"/>
        </row>
        <row r="50">
          <cell r="A50" t="str">
            <v>Si/No</v>
          </cell>
          <cell r="B50" t="str">
            <v>Si</v>
          </cell>
          <cell r="C50" t="str">
            <v>Valor</v>
          </cell>
          <cell r="D50" t="b">
            <v>1</v>
          </cell>
        </row>
        <row r="51">
          <cell r="A51" t="str">
            <v>Si/No</v>
          </cell>
          <cell r="B51" t="str">
            <v>No</v>
          </cell>
          <cell r="C51" t="str">
            <v>Valor</v>
          </cell>
          <cell r="D51" t="b">
            <v>0</v>
          </cell>
        </row>
        <row r="53">
          <cell r="A53" t="str">
            <v>Cofinavit</v>
          </cell>
          <cell r="B53" t="str">
            <v>Factor Incremento Avalúo</v>
          </cell>
          <cell r="C53" t="str">
            <v>Valor</v>
          </cell>
          <cell r="D53">
            <v>0.1</v>
          </cell>
        </row>
        <row r="54">
          <cell r="A54" t="str">
            <v>Cofinavit</v>
          </cell>
          <cell r="B54" t="str">
            <v>Umbral Incremento Avalúo</v>
          </cell>
          <cell r="C54" t="str">
            <v>Valor</v>
          </cell>
          <cell r="D54">
            <v>7000000</v>
          </cell>
        </row>
        <row r="55">
          <cell r="A55" t="str">
            <v>Cofinavit</v>
          </cell>
          <cell r="B55" t="str">
            <v>Relación Ingreso-Pago</v>
          </cell>
          <cell r="C55" t="str">
            <v>Valor</v>
          </cell>
          <cell r="D55">
            <v>2</v>
          </cell>
        </row>
        <row r="56">
          <cell r="A56" t="str">
            <v>Cofinavit</v>
          </cell>
          <cell r="B56" t="str">
            <v>Comisión Crédito</v>
          </cell>
          <cell r="C56" t="str">
            <v>Valor</v>
          </cell>
          <cell r="D56">
            <v>0.05</v>
          </cell>
        </row>
        <row r="57">
          <cell r="A57"/>
          <cell r="B57"/>
          <cell r="C57"/>
          <cell r="D57"/>
        </row>
        <row r="58">
          <cell r="A58" t="str">
            <v>Cofinavit</v>
          </cell>
          <cell r="B58" t="str">
            <v>Crédito Titular</v>
          </cell>
          <cell r="C58" t="str">
            <v>Veces</v>
          </cell>
          <cell r="D58">
            <v>180</v>
          </cell>
        </row>
        <row r="59">
          <cell r="A59" t="str">
            <v>Cofinavit</v>
          </cell>
          <cell r="B59" t="str">
            <v>Crédito Titular</v>
          </cell>
          <cell r="C59" t="str">
            <v>Unidad</v>
          </cell>
          <cell r="D59" t="str">
            <v>UMA'18</v>
          </cell>
        </row>
        <row r="60">
          <cell r="A60" t="str">
            <v>Cofinavit</v>
          </cell>
          <cell r="B60" t="str">
            <v>Crédito Cónyuge</v>
          </cell>
          <cell r="C60" t="str">
            <v>Veces</v>
          </cell>
          <cell r="D60">
            <v>180</v>
          </cell>
        </row>
        <row r="61">
          <cell r="A61" t="str">
            <v>Cofinavit</v>
          </cell>
          <cell r="B61" t="str">
            <v>Crédito Cónyuge</v>
          </cell>
          <cell r="C61" t="str">
            <v>Unidad</v>
          </cell>
          <cell r="D61" t="str">
            <v>UMA'18</v>
          </cell>
        </row>
        <row r="62">
          <cell r="A62"/>
          <cell r="B62"/>
          <cell r="C62"/>
          <cell r="D62"/>
        </row>
        <row r="63">
          <cell r="A63" t="str">
            <v>IA Cofinavit</v>
          </cell>
          <cell r="B63" t="str">
            <v>Crédito Titular</v>
          </cell>
          <cell r="C63" t="str">
            <v>Veces</v>
          </cell>
          <cell r="D63">
            <v>171</v>
          </cell>
        </row>
        <row r="64">
          <cell r="A64" t="str">
            <v>IA Cofinavit</v>
          </cell>
          <cell r="B64" t="str">
            <v>Crédito Titular</v>
          </cell>
          <cell r="C64" t="str">
            <v>Unidad</v>
          </cell>
          <cell r="D64" t="str">
            <v>UMA'18</v>
          </cell>
        </row>
        <row r="65">
          <cell r="A65" t="str">
            <v>IA Cofinavit</v>
          </cell>
          <cell r="B65" t="str">
            <v>Crédito Cónyuge</v>
          </cell>
          <cell r="C65" t="str">
            <v>Veces</v>
          </cell>
          <cell r="D65">
            <v>171</v>
          </cell>
        </row>
        <row r="66">
          <cell r="A66" t="str">
            <v>IA Cofinavit</v>
          </cell>
          <cell r="B66" t="str">
            <v>Crédito Cónyuge</v>
          </cell>
          <cell r="C66" t="str">
            <v>Unidad</v>
          </cell>
          <cell r="D66" t="str">
            <v>UMA'18</v>
          </cell>
        </row>
        <row r="67">
          <cell r="A67"/>
          <cell r="B67"/>
          <cell r="C67"/>
          <cell r="D67"/>
        </row>
        <row r="68">
          <cell r="A68" t="str">
            <v>Dcto Eco</v>
          </cell>
          <cell r="B68" t="str">
            <v>Ingreso en VSM</v>
          </cell>
          <cell r="C68"/>
          <cell r="D68"/>
        </row>
        <row r="69">
          <cell r="A69" t="str">
            <v>Dcto Eco</v>
          </cell>
          <cell r="B69">
            <v>1</v>
          </cell>
          <cell r="C69" t="str">
            <v>Dcto</v>
          </cell>
          <cell r="D69">
            <v>68.319999999999993</v>
          </cell>
        </row>
        <row r="70">
          <cell r="A70" t="str">
            <v>Dcto Eco</v>
          </cell>
          <cell r="B70">
            <v>1.6</v>
          </cell>
          <cell r="C70" t="str">
            <v>Dcto</v>
          </cell>
          <cell r="D70">
            <v>136.65</v>
          </cell>
        </row>
        <row r="71">
          <cell r="A71" t="str">
            <v>Dcto Eco</v>
          </cell>
          <cell r="B71">
            <v>2.4</v>
          </cell>
          <cell r="C71" t="str">
            <v>Dcto</v>
          </cell>
          <cell r="D71">
            <v>150.31</v>
          </cell>
        </row>
        <row r="72">
          <cell r="A72" t="str">
            <v>Dcto Eco</v>
          </cell>
          <cell r="B72">
            <v>3.1</v>
          </cell>
          <cell r="C72" t="str">
            <v>Dcto</v>
          </cell>
          <cell r="D72">
            <v>218.64</v>
          </cell>
        </row>
        <row r="73">
          <cell r="A73" t="str">
            <v>Dcto Eco</v>
          </cell>
          <cell r="B73">
            <v>7</v>
          </cell>
          <cell r="C73" t="str">
            <v>Dcto</v>
          </cell>
          <cell r="D73">
            <v>294.91000000000003</v>
          </cell>
        </row>
        <row r="74">
          <cell r="A74" t="str">
            <v>Dcto Eco</v>
          </cell>
          <cell r="B74">
            <v>11</v>
          </cell>
          <cell r="C74" t="str">
            <v>Dcto</v>
          </cell>
          <cell r="D74">
            <v>406.77</v>
          </cell>
        </row>
        <row r="76">
          <cell r="A76" t="str">
            <v>Frecuencia</v>
          </cell>
          <cell r="B76" t="str">
            <v>Mensual</v>
          </cell>
          <cell r="C76" t="str">
            <v>Periodos por Año</v>
          </cell>
          <cell r="D76">
            <v>12</v>
          </cell>
        </row>
      </sheetData>
      <sheetData sheetId="3">
        <row r="3">
          <cell r="H3">
            <v>9.9000000000000005E-2</v>
          </cell>
        </row>
        <row r="5">
          <cell r="H5" t="str">
            <v>Apoyo Infonavit</v>
          </cell>
          <cell r="K5" t="str">
            <v>Cofinavit</v>
          </cell>
        </row>
        <row r="8">
          <cell r="H8">
            <v>1111111.1100000001</v>
          </cell>
          <cell r="L8"/>
        </row>
        <row r="9">
          <cell r="K9">
            <v>100000</v>
          </cell>
          <cell r="L9"/>
        </row>
        <row r="10">
          <cell r="H10">
            <v>0.7</v>
          </cell>
          <cell r="K10">
            <v>200000</v>
          </cell>
          <cell r="L10"/>
        </row>
        <row r="11">
          <cell r="H11">
            <v>777777.777</v>
          </cell>
          <cell r="K11">
            <v>3000</v>
          </cell>
          <cell r="L11"/>
        </row>
        <row r="12">
          <cell r="H12">
            <v>20000</v>
          </cell>
          <cell r="K12">
            <v>294.91000000000003</v>
          </cell>
        </row>
        <row r="16">
          <cell r="H16" t="str">
            <v>No</v>
          </cell>
        </row>
        <row r="17">
          <cell r="H17" t="str">
            <v>No</v>
          </cell>
        </row>
        <row r="25">
          <cell r="H25">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mulador"/>
      <sheetName val="COFINAVIT"/>
      <sheetName val="Sheet1"/>
      <sheetName val="Tabla Parámetros"/>
      <sheetName val="Estados y Datos Notariales"/>
      <sheetName val="Tabla Notaría"/>
      <sheetName val="Notariales"/>
      <sheetName val="Tabla Fijos"/>
      <sheetName val="Tabla de Pagos Crecientes"/>
      <sheetName val="Oferta Vinculante"/>
      <sheetName val="Aforos"/>
      <sheetName val="Pago x mil"/>
      <sheetName val="Fecha Pago"/>
      <sheetName val="CAT"/>
      <sheetName val="CAT Flujo Cero"/>
      <sheetName val="Tabla Fijos CAT"/>
      <sheetName val="Tabla Construcción Fijos"/>
      <sheetName val="Tabla Construcción Fijos CAT"/>
      <sheetName val="Tabla Construcción Crecientes"/>
      <sheetName val="Tabla Construcción CAT crecient"/>
      <sheetName val="CVTO Crecientes"/>
      <sheetName val="CVTO Fijos"/>
      <sheetName val="Ecotecnologias"/>
      <sheetName val="AportPat"/>
      <sheetName val="Tabla de Incrementos"/>
      <sheetName val="Fovissste"/>
      <sheetName val="AportPatFov"/>
    </sheetNames>
    <sheetDataSet>
      <sheetData sheetId="0">
        <row r="7">
          <cell r="F7">
            <v>45595</v>
          </cell>
        </row>
        <row r="9">
          <cell r="F9" t="str">
            <v>Adquisición</v>
          </cell>
        </row>
        <row r="11">
          <cell r="F11" t="str">
            <v>Hipoteca Fuerte</v>
          </cell>
        </row>
        <row r="15">
          <cell r="N15">
            <v>0.01</v>
          </cell>
        </row>
        <row r="17">
          <cell r="N17" t="str">
            <v>NO</v>
          </cell>
        </row>
        <row r="19">
          <cell r="F19">
            <v>240</v>
          </cell>
        </row>
      </sheetData>
      <sheetData sheetId="1" refreshError="1"/>
      <sheetData sheetId="2" refreshError="1"/>
      <sheetData sheetId="3">
        <row r="4">
          <cell r="O4" t="str">
            <v>Más por Menos</v>
          </cell>
        </row>
        <row r="7">
          <cell r="J7" t="str">
            <v>Construcción</v>
          </cell>
        </row>
        <row r="8">
          <cell r="J8" t="str">
            <v>Terreno_más_Construcción</v>
          </cell>
        </row>
        <row r="9">
          <cell r="J9" t="str">
            <v>Compra_Venta_Termino_Obra</v>
          </cell>
        </row>
        <row r="11">
          <cell r="J11" t="str">
            <v>Terreno_Urbanizado</v>
          </cell>
        </row>
        <row r="39">
          <cell r="C39" t="str">
            <v>Tradicional</v>
          </cell>
        </row>
        <row r="41">
          <cell r="C41" t="str">
            <v>Tradicional</v>
          </cell>
        </row>
        <row r="43">
          <cell r="C43" t="str">
            <v>Tradicional</v>
          </cell>
        </row>
        <row r="44">
          <cell r="C44" t="str">
            <v>Apoyo INFONAVIT</v>
          </cell>
        </row>
        <row r="52">
          <cell r="C52" t="str">
            <v>Tradicional</v>
          </cell>
        </row>
        <row r="53">
          <cell r="C53" t="str">
            <v>Tradicional</v>
          </cell>
        </row>
        <row r="54">
          <cell r="C54" t="str">
            <v>Cofinavit</v>
          </cell>
        </row>
        <row r="90">
          <cell r="Q90">
            <v>2.5</v>
          </cell>
        </row>
      </sheetData>
      <sheetData sheetId="4" refreshError="1"/>
      <sheetData sheetId="5" refreshError="1"/>
      <sheetData sheetId="6" refreshError="1"/>
      <sheetData sheetId="7">
        <row r="4">
          <cell r="J4">
            <v>299</v>
          </cell>
        </row>
      </sheetData>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mulador"/>
      <sheetName val="COFINAVIT"/>
      <sheetName val="Sheet1"/>
      <sheetName val="Tabla Parámetros"/>
      <sheetName val="Estados y Datos Notariales"/>
      <sheetName val="Tabla Notaría"/>
      <sheetName val="Notariales"/>
      <sheetName val="Tabla Fijos"/>
      <sheetName val="Tabla de Pagos Crecientes"/>
      <sheetName val="Oferta Vinculante"/>
      <sheetName val="Aforos"/>
      <sheetName val="Pago x mil"/>
      <sheetName val="Fecha Pago"/>
      <sheetName val="CAT"/>
      <sheetName val="CAT Flujo Cero"/>
      <sheetName val="Tabla Fijos CAT"/>
      <sheetName val="Tabla Construcción Fijos"/>
      <sheetName val="Tabla Construcción Fijos CAT"/>
      <sheetName val="Tabla Construcción Crecientes"/>
      <sheetName val="Tabla Construcción CAT crecient"/>
      <sheetName val="CVTO Crecientes"/>
      <sheetName val="CVTO Fijos"/>
      <sheetName val="Ecotecnologias"/>
      <sheetName val="AportPat"/>
      <sheetName val="Tabla de Incrementos"/>
      <sheetName val="Fovissste"/>
      <sheetName val="AportPatFov"/>
    </sheetNames>
    <sheetDataSet>
      <sheetData sheetId="0"/>
      <sheetData sheetId="1"/>
      <sheetData sheetId="2"/>
      <sheetData sheetId="3">
        <row r="39">
          <cell r="C39" t="str">
            <v>Tradicional</v>
          </cell>
        </row>
        <row r="41">
          <cell r="C41" t="str">
            <v>Tradicional</v>
          </cell>
        </row>
        <row r="43">
          <cell r="C43" t="str">
            <v>Tradicional</v>
          </cell>
        </row>
        <row r="44">
          <cell r="C44" t="str">
            <v>Apoyo INFONAVIT</v>
          </cell>
        </row>
        <row r="52">
          <cell r="C52" t="str">
            <v>Tradicional</v>
          </cell>
        </row>
        <row r="53">
          <cell r="C53" t="str">
            <v>Tradicional</v>
          </cell>
        </row>
        <row r="54">
          <cell r="C54" t="str">
            <v>Cofinavit</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tácora"/>
      <sheetName val="Adm"/>
      <sheetName val="Cal"/>
      <sheetName val="Captura"/>
      <sheetName val="Liquidez"/>
      <sheetName val="Consumo"/>
      <sheetName val="Plus"/>
      <sheetName val="pasos"/>
      <sheetName val="Guía"/>
      <sheetName val="CAT"/>
    </sheetNames>
    <sheetDataSet>
      <sheetData sheetId="0"/>
      <sheetData sheetId="1">
        <row r="4">
          <cell r="U4">
            <v>1</v>
          </cell>
        </row>
        <row r="5">
          <cell r="U5">
            <v>2</v>
          </cell>
          <cell r="AG5" t="str">
            <v/>
          </cell>
          <cell r="AH5" t="str">
            <v/>
          </cell>
        </row>
        <row r="6">
          <cell r="U6">
            <v>3</v>
          </cell>
          <cell r="AG6" t="str">
            <v/>
          </cell>
          <cell r="AH6" t="str">
            <v/>
          </cell>
        </row>
        <row r="7">
          <cell r="U7">
            <v>4</v>
          </cell>
          <cell r="AG7" t="str">
            <v/>
          </cell>
          <cell r="AH7" t="str">
            <v/>
          </cell>
        </row>
        <row r="8">
          <cell r="AG8" t="str">
            <v/>
          </cell>
        </row>
      </sheetData>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isión"/>
      <sheetName val="Pago Fijo"/>
      <sheetName val="Pago Creciente"/>
      <sheetName val="Tabla Notaria"/>
      <sheetName val="Oferta vinculante"/>
      <sheetName val="Pago Fijo A"/>
      <sheetName val="Pago Creciente A"/>
      <sheetName val="Convenio Tasa"/>
      <sheetName val="Convenio Plazo y Tasa o Plazo"/>
      <sheetName val="Layout"/>
    </sheetNames>
    <sheetDataSet>
      <sheetData sheetId="0"/>
      <sheetData sheetId="1">
        <row r="4">
          <cell r="I4">
            <v>1</v>
          </cell>
        </row>
      </sheetData>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_Consola"/>
      <sheetName val="CA_Servicios"/>
      <sheetName val="Variantes"/>
      <sheetName val="Datos Generales"/>
      <sheetName val="Datos Tasas"/>
      <sheetName val="Datos Notariales"/>
      <sheetName val="Datos Promociones"/>
      <sheetName val="PASO1"/>
      <sheetName val="PASO2"/>
      <sheetName val="PASO3"/>
      <sheetName val="PASO3a"/>
      <sheetName val="PASO5"/>
      <sheetName val="PASO6"/>
      <sheetName val="PasoSeguros"/>
      <sheetName val="PasoValorDestructible"/>
      <sheetName val="PASO6 APOYO"/>
      <sheetName val="PASO6 COFINAVIT"/>
      <sheetName val="PASO6 FOVISSSTE"/>
      <sheetName val="PASO7 TRAD"/>
      <sheetName val="PasoTasas"/>
      <sheetName val="PasoTasas.Helper"/>
      <sheetName val="Cotización"/>
      <sheetName val="Tabla Cliente"/>
      <sheetName val="Tabla Notaría"/>
      <sheetName val="Oferta Vinculante"/>
      <sheetName val="Promo Activa"/>
      <sheetName val="Aclaraciones"/>
      <sheetName val="Etiquetas"/>
      <sheetName val="Crédito Banorte"/>
      <sheetName val="Tipo_Seguro"/>
      <sheetName val="Pass-Throughs"/>
      <sheetName val="NotasNumeradasOV"/>
      <sheetName val="CAT Flujo Cero"/>
      <sheetName val="CAT Apoyo Infonavit"/>
      <sheetName val="CAT Construcción"/>
      <sheetName val="CAT Pagos Crecientes"/>
      <sheetName val="CAT Tabla Tradicional"/>
      <sheetName val="Comisiones"/>
      <sheetName val="Cofinavit Ingresos Adicionales"/>
      <sheetName val="Destinos"/>
      <sheetName val="DondeCotiza"/>
      <sheetName val="Esquema Especial"/>
      <sheetName val="Fecha Pago"/>
      <sheetName val="COMISIÓN_AVALÚO"/>
      <sheetName val="Gastos Iniciales"/>
      <sheetName val="GASNOT GLUE"/>
      <sheetName val="GASNOT"/>
      <sheetName val="GASNOT.Tarifa"/>
      <sheetName val="IVA"/>
      <sheetName val="Layout"/>
      <sheetName val="Pago Creciente"/>
      <sheetName val="Pagos Anticipados"/>
      <sheetName val="Productos"/>
      <sheetName val="PROPS_MXM"/>
      <sheetName val="TASAS_FUERTE"/>
      <sheetName val="Plazos"/>
      <sheetName val="Rango de Vivienda"/>
      <sheetName val="Salida Cotización"/>
      <sheetName val="Combo_CAT_Remanente"/>
      <sheetName val="Tabla Not Apoyo Infonavit"/>
      <sheetName val="Tabla Not Pagos Crecientes"/>
      <sheetName val="Tabla Not Tradicional"/>
      <sheetName val="Tabla Apoyo Infonavit"/>
      <sheetName val="Tabla Pagos Crecientes"/>
      <sheetName val="Tabla Tradicional"/>
      <sheetName val="Tasa Inicial"/>
      <sheetName val="Tasas"/>
      <sheetName val="Tipo de Crédito"/>
      <sheetName val="Tipo de Simulación"/>
      <sheetName val="UDIS y SM"/>
      <sheetName val="Validaciones"/>
      <sheetName val="Ajustes Subrogación"/>
      <sheetName val="Promos"/>
      <sheetName val="CMS STATE"/>
    </sheetNames>
    <definedNames>
      <definedName name="o.Leyenda_OV_Seguros_Daños" refersTo="='Tipo_Seguro'!$N$18" sheetId="29"/>
      <definedName name="o.Leyenda_Vida" refersTo="='Tipo_Seguro'!$N$16" sheetId="29"/>
    </definedNames>
    <sheetDataSet>
      <sheetData sheetId="0"/>
      <sheetData sheetId="1"/>
      <sheetData sheetId="2">
        <row r="2">
          <cell r="A2" t="str">
            <v>Promoción General</v>
          </cell>
        </row>
      </sheetData>
      <sheetData sheetId="3">
        <row r="2">
          <cell r="B2" t="str">
            <v>Aguascalientes</v>
          </cell>
        </row>
      </sheetData>
      <sheetData sheetId="4"/>
      <sheetData sheetId="5"/>
      <sheetData sheetId="6"/>
      <sheetData sheetId="7"/>
      <sheetData sheetId="8"/>
      <sheetData sheetId="9"/>
      <sheetData sheetId="10"/>
      <sheetData sheetId="11"/>
      <sheetData sheetId="12"/>
      <sheetData sheetId="13">
        <row r="4">
          <cell r="N4" t="str">
            <v>Banorte</v>
          </cell>
        </row>
      </sheetData>
      <sheetData sheetId="14">
        <row r="9">
          <cell r="H9" t="e">
            <v>#VALUE!</v>
          </cell>
        </row>
      </sheetData>
      <sheetData sheetId="15">
        <row r="5">
          <cell r="M5" t="e">
            <v>#N/A</v>
          </cell>
        </row>
      </sheetData>
      <sheetData sheetId="16">
        <row r="9">
          <cell r="F9" t="e">
            <v>#N/A</v>
          </cell>
        </row>
      </sheetData>
      <sheetData sheetId="17">
        <row r="9">
          <cell r="F9" t="e">
            <v>#N/A</v>
          </cell>
        </row>
      </sheetData>
      <sheetData sheetId="18">
        <row r="6">
          <cell r="O6" t="e">
            <v>#N/A</v>
          </cell>
        </row>
      </sheetData>
      <sheetData sheetId="19"/>
      <sheetData sheetId="20">
        <row r="5">
          <cell r="K5">
            <v>1</v>
          </cell>
        </row>
      </sheetData>
      <sheetData sheetId="21">
        <row r="12">
          <cell r="D12" t="str">
            <v>Sin Selección
(Sin Selección)</v>
          </cell>
        </row>
        <row r="89">
          <cell r="B89" t="str">
            <v/>
          </cell>
        </row>
        <row r="209">
          <cell r="D209" t="e">
            <v>#VALUE!</v>
          </cell>
        </row>
      </sheetData>
      <sheetData sheetId="22">
        <row r="25">
          <cell r="Y25" t="e">
            <v>#NUM!</v>
          </cell>
        </row>
      </sheetData>
      <sheetData sheetId="23"/>
      <sheetData sheetId="24"/>
      <sheetData sheetId="25"/>
      <sheetData sheetId="26">
        <row r="6">
          <cell r="B6" t="b">
            <v>0</v>
          </cell>
        </row>
      </sheetData>
      <sheetData sheetId="27">
        <row r="4">
          <cell r="A4" t="str">
            <v>Etiqueta</v>
          </cell>
        </row>
      </sheetData>
      <sheetData sheetId="28">
        <row r="2">
          <cell r="D2">
            <v>0</v>
          </cell>
        </row>
      </sheetData>
      <sheetData sheetId="29">
        <row r="7">
          <cell r="D7">
            <v>1</v>
          </cell>
        </row>
        <row r="16">
          <cell r="N16" t="str">
            <v>Seguro de Vida, Enfermedades Graves y Momentos de Vida.</v>
          </cell>
        </row>
        <row r="18">
          <cell r="N18" t="str">
            <v>Daños y Contenidos.</v>
          </cell>
        </row>
      </sheetData>
      <sheetData sheetId="30">
        <row r="12">
          <cell r="B12" t="str">
            <v>No</v>
          </cell>
        </row>
      </sheetData>
      <sheetData sheetId="31">
        <row r="5">
          <cell r="A5">
            <v>1</v>
          </cell>
        </row>
      </sheetData>
      <sheetData sheetId="32"/>
      <sheetData sheetId="33">
        <row r="6">
          <cell r="Q6" t="e">
            <v>#VALUE!</v>
          </cell>
        </row>
      </sheetData>
      <sheetData sheetId="34">
        <row r="6">
          <cell r="Q6" t="e">
            <v>#VALUE!</v>
          </cell>
        </row>
      </sheetData>
      <sheetData sheetId="35">
        <row r="6">
          <cell r="Q6" t="e">
            <v>#VALUE!</v>
          </cell>
        </row>
      </sheetData>
      <sheetData sheetId="36">
        <row r="6">
          <cell r="Q6" t="e">
            <v>#VALUE!</v>
          </cell>
        </row>
      </sheetData>
      <sheetData sheetId="37">
        <row r="1">
          <cell r="B1">
            <v>2</v>
          </cell>
        </row>
      </sheetData>
      <sheetData sheetId="38">
        <row r="1">
          <cell r="B1" t="str">
            <v>N.A.</v>
          </cell>
        </row>
      </sheetData>
      <sheetData sheetId="39">
        <row r="4">
          <cell r="A4">
            <v>0</v>
          </cell>
        </row>
        <row r="16">
          <cell r="N16" t="b">
            <v>0</v>
          </cell>
        </row>
      </sheetData>
      <sheetData sheetId="40">
        <row r="3">
          <cell r="B3">
            <v>1</v>
          </cell>
        </row>
      </sheetData>
      <sheetData sheetId="41">
        <row r="1">
          <cell r="B1" t="str">
            <v/>
          </cell>
        </row>
      </sheetData>
      <sheetData sheetId="42">
        <row r="1">
          <cell r="J1">
            <v>0</v>
          </cell>
        </row>
      </sheetData>
      <sheetData sheetId="43">
        <row r="4">
          <cell r="I4" t="e">
            <v>#VALUE!</v>
          </cell>
        </row>
      </sheetData>
      <sheetData sheetId="44">
        <row r="8">
          <cell r="A8">
            <v>1</v>
          </cell>
        </row>
      </sheetData>
      <sheetData sheetId="45">
        <row r="6">
          <cell r="B6">
            <v>29</v>
          </cell>
        </row>
      </sheetData>
      <sheetData sheetId="46"/>
      <sheetData sheetId="47"/>
      <sheetData sheetId="48">
        <row r="4">
          <cell r="A4">
            <v>1</v>
          </cell>
        </row>
      </sheetData>
      <sheetData sheetId="49">
        <row r="3">
          <cell r="AF3">
            <v>1000000</v>
          </cell>
        </row>
        <row r="16">
          <cell r="N16">
            <v>0</v>
          </cell>
        </row>
        <row r="18">
          <cell r="N18">
            <v>0</v>
          </cell>
        </row>
      </sheetData>
      <sheetData sheetId="50">
        <row r="1">
          <cell r="A1">
            <v>10</v>
          </cell>
        </row>
      </sheetData>
      <sheetData sheetId="51">
        <row r="1">
          <cell r="A1">
            <v>1</v>
          </cell>
        </row>
      </sheetData>
      <sheetData sheetId="52">
        <row r="4">
          <cell r="A4">
            <v>0</v>
          </cell>
        </row>
      </sheetData>
      <sheetData sheetId="53"/>
      <sheetData sheetId="54"/>
      <sheetData sheetId="55">
        <row r="5">
          <cell r="L5" t="e">
            <v>#N/A</v>
          </cell>
        </row>
      </sheetData>
      <sheetData sheetId="56">
        <row r="3">
          <cell r="B3">
            <v>1000000</v>
          </cell>
        </row>
      </sheetData>
      <sheetData sheetId="57">
        <row r="3">
          <cell r="D3" t="e">
            <v>#VALUE!</v>
          </cell>
        </row>
      </sheetData>
      <sheetData sheetId="58"/>
      <sheetData sheetId="59"/>
      <sheetData sheetId="60"/>
      <sheetData sheetId="61"/>
      <sheetData sheetId="62"/>
      <sheetData sheetId="63"/>
      <sheetData sheetId="64">
        <row r="4">
          <cell r="S4" t="e">
            <v>#VALUE!</v>
          </cell>
        </row>
      </sheetData>
      <sheetData sheetId="65"/>
      <sheetData sheetId="66">
        <row r="4">
          <cell r="N4" t="e">
            <v>#N/A</v>
          </cell>
        </row>
        <row r="16">
          <cell r="N16" t="e">
            <v>#N/A</v>
          </cell>
        </row>
        <row r="18">
          <cell r="N18" t="e">
            <v>#N/A</v>
          </cell>
        </row>
      </sheetData>
      <sheetData sheetId="67">
        <row r="1">
          <cell r="A1">
            <v>2</v>
          </cell>
        </row>
      </sheetData>
      <sheetData sheetId="68">
        <row r="1">
          <cell r="A1">
            <v>0</v>
          </cell>
        </row>
      </sheetData>
      <sheetData sheetId="69">
        <row r="9">
          <cell r="B9">
            <v>0</v>
          </cell>
        </row>
      </sheetData>
      <sheetData sheetId="70">
        <row r="2">
          <cell r="A2">
            <v>0.05</v>
          </cell>
        </row>
      </sheetData>
      <sheetData sheetId="71">
        <row r="8">
          <cell r="B8" t="e">
            <v>#VALUE!</v>
          </cell>
        </row>
      </sheetData>
      <sheetData sheetId="72"/>
      <sheetData sheetId="7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9477B-F30A-48C0-B311-609CEE412060}">
  <sheetPr>
    <pageSetUpPr fitToPage="1"/>
  </sheetPr>
  <dimension ref="A1:Q311"/>
  <sheetViews>
    <sheetView showGridLines="0" tabSelected="1" zoomScale="85" zoomScaleNormal="85" workbookViewId="0">
      <selection activeCell="F9" sqref="F9:G9"/>
    </sheetView>
  </sheetViews>
  <sheetFormatPr baseColWidth="10" defaultColWidth="0" defaultRowHeight="13.5" zeroHeight="1" x14ac:dyDescent="0.25"/>
  <cols>
    <col min="1" max="1" width="0.42578125" style="125" customWidth="1"/>
    <col min="2" max="2" width="8.5703125" style="125" customWidth="1"/>
    <col min="3" max="3" width="12" style="125" bestFit="1" customWidth="1"/>
    <col min="4" max="4" width="11.42578125" style="125" customWidth="1"/>
    <col min="5" max="5" width="8.5703125" style="125" customWidth="1"/>
    <col min="6" max="6" width="18.140625" style="125" customWidth="1"/>
    <col min="7" max="7" width="18.7109375" style="125" bestFit="1" customWidth="1"/>
    <col min="8" max="8" width="13" style="125" customWidth="1"/>
    <col min="9" max="9" width="16.140625" style="125" customWidth="1"/>
    <col min="10" max="10" width="15.42578125" style="125" customWidth="1"/>
    <col min="11" max="11" width="16" style="125" customWidth="1"/>
    <col min="12" max="12" width="14.5703125" style="125" customWidth="1"/>
    <col min="13" max="13" width="14.7109375" style="125" customWidth="1"/>
    <col min="14" max="14" width="15.7109375" style="125" customWidth="1"/>
    <col min="15" max="15" width="14.85546875" style="125" customWidth="1"/>
    <col min="16" max="16" width="12.28515625" style="125" bestFit="1" customWidth="1"/>
    <col min="17" max="17" width="1.28515625" style="125" customWidth="1"/>
    <col min="18" max="16384" width="11.42578125" style="125" hidden="1"/>
  </cols>
  <sheetData>
    <row r="1" spans="2:16" x14ac:dyDescent="0.25"/>
    <row r="2" spans="2:16" ht="15" x14ac:dyDescent="0.25">
      <c r="H2" s="126"/>
      <c r="K2" s="127" t="s">
        <v>117</v>
      </c>
      <c r="L2" s="237"/>
      <c r="M2" s="237"/>
      <c r="N2" s="237"/>
      <c r="O2" s="237"/>
    </row>
    <row r="3" spans="2:16" x14ac:dyDescent="0.25"/>
    <row r="4" spans="2:16" ht="15" customHeight="1" x14ac:dyDescent="0.25">
      <c r="B4" s="234" t="s">
        <v>118</v>
      </c>
      <c r="C4" s="234"/>
      <c r="D4" s="234"/>
      <c r="E4" s="234"/>
      <c r="F4" s="234"/>
      <c r="G4" s="234"/>
      <c r="H4" s="234"/>
      <c r="I4" s="234"/>
      <c r="J4" s="234"/>
      <c r="K4" s="234"/>
      <c r="L4" s="234"/>
      <c r="M4" s="234"/>
      <c r="N4" s="234"/>
      <c r="O4" s="234"/>
      <c r="P4" s="234"/>
    </row>
    <row r="5" spans="2:16" x14ac:dyDescent="0.25">
      <c r="B5" s="240" t="s">
        <v>13</v>
      </c>
      <c r="C5" s="240"/>
      <c r="D5" s="240"/>
      <c r="E5" s="240"/>
      <c r="F5" s="240"/>
      <c r="G5" s="240"/>
      <c r="H5" s="240"/>
      <c r="I5" s="240"/>
      <c r="J5" s="240"/>
      <c r="K5" s="240"/>
      <c r="L5" s="240"/>
      <c r="M5" s="240"/>
      <c r="N5" s="240"/>
      <c r="O5" s="240"/>
      <c r="P5" s="240"/>
    </row>
    <row r="6" spans="2:16" ht="7.5" customHeight="1" x14ac:dyDescent="0.25">
      <c r="B6" s="128"/>
      <c r="C6" s="128"/>
      <c r="D6" s="128"/>
      <c r="E6" s="128"/>
      <c r="F6" s="128"/>
      <c r="G6" s="128"/>
      <c r="H6" s="128"/>
      <c r="I6" s="128"/>
      <c r="J6" s="128"/>
      <c r="K6" s="128"/>
      <c r="L6" s="128"/>
      <c r="M6" s="128"/>
      <c r="N6" s="128"/>
      <c r="O6" s="128"/>
      <c r="P6" s="128"/>
    </row>
    <row r="7" spans="2:16" x14ac:dyDescent="0.25">
      <c r="D7" s="1" t="s">
        <v>0</v>
      </c>
      <c r="F7" s="246">
        <f ca="1">TODAY()</f>
        <v>45705</v>
      </c>
      <c r="G7" s="246"/>
      <c r="L7" s="1" t="s">
        <v>8</v>
      </c>
      <c r="N7" s="230" t="s">
        <v>16</v>
      </c>
      <c r="O7" s="230"/>
    </row>
    <row r="8" spans="2:16" ht="6.75" customHeight="1" x14ac:dyDescent="0.25"/>
    <row r="9" spans="2:16" x14ac:dyDescent="0.25">
      <c r="D9" s="1" t="s">
        <v>1</v>
      </c>
      <c r="F9" s="230" t="s">
        <v>179</v>
      </c>
      <c r="G9" s="230"/>
      <c r="I9" s="150" t="s">
        <v>192</v>
      </c>
      <c r="L9" s="1" t="s">
        <v>7</v>
      </c>
      <c r="N9" s="230">
        <v>240</v>
      </c>
      <c r="O9" s="230"/>
    </row>
    <row r="10" spans="2:16" ht="6" customHeight="1" x14ac:dyDescent="0.25"/>
    <row r="11" spans="2:16" x14ac:dyDescent="0.25">
      <c r="D11" s="1" t="s">
        <v>2</v>
      </c>
      <c r="F11" s="231" t="s">
        <v>3</v>
      </c>
      <c r="G11" s="231"/>
      <c r="I11" s="228" t="s">
        <v>20</v>
      </c>
      <c r="L11" s="1" t="s">
        <v>9</v>
      </c>
      <c r="N11" s="244" t="s">
        <v>20</v>
      </c>
      <c r="O11" s="244"/>
    </row>
    <row r="12" spans="2:16" ht="7.5" customHeight="1" x14ac:dyDescent="0.25"/>
    <row r="13" spans="2:16" x14ac:dyDescent="0.25">
      <c r="D13" s="1" t="s">
        <v>4</v>
      </c>
      <c r="F13" s="230" t="s">
        <v>5</v>
      </c>
      <c r="G13" s="230"/>
      <c r="I13" s="150" t="s">
        <v>193</v>
      </c>
      <c r="L13" s="1" t="s">
        <v>10</v>
      </c>
      <c r="N13" s="245" t="s">
        <v>27</v>
      </c>
      <c r="O13" s="245"/>
    </row>
    <row r="14" spans="2:16" ht="6" customHeight="1" x14ac:dyDescent="0.25">
      <c r="D14" s="1"/>
    </row>
    <row r="15" spans="2:16" x14ac:dyDescent="0.25">
      <c r="D15" s="1" t="s">
        <v>6</v>
      </c>
      <c r="F15" s="232">
        <v>3000000</v>
      </c>
      <c r="G15" s="232"/>
      <c r="I15" s="228" t="s">
        <v>20</v>
      </c>
      <c r="L15" s="1" t="s">
        <v>191</v>
      </c>
      <c r="N15" s="4">
        <f>F19/F15</f>
        <v>0.4</v>
      </c>
    </row>
    <row r="16" spans="2:16" ht="6.75" customHeight="1" x14ac:dyDescent="0.25"/>
    <row r="17" spans="2:16" x14ac:dyDescent="0.25">
      <c r="D17" s="1" t="s">
        <v>200</v>
      </c>
      <c r="F17" s="232">
        <f>F15*0.7</f>
        <v>2100000</v>
      </c>
      <c r="G17" s="232"/>
      <c r="L17" s="1" t="s">
        <v>313</v>
      </c>
      <c r="N17" s="4">
        <f>F21/F15</f>
        <v>0.26666666666666666</v>
      </c>
    </row>
    <row r="18" spans="2:16" ht="7.5" customHeight="1" x14ac:dyDescent="0.25"/>
    <row r="19" spans="2:16" x14ac:dyDescent="0.25">
      <c r="D19" s="1" t="s">
        <v>180</v>
      </c>
      <c r="F19" s="232">
        <v>1200000</v>
      </c>
      <c r="G19" s="232"/>
      <c r="I19" s="152" t="s">
        <v>190</v>
      </c>
      <c r="L19" s="1" t="s">
        <v>11</v>
      </c>
      <c r="N19" s="4">
        <f>N15+N17</f>
        <v>0.66666666666666674</v>
      </c>
    </row>
    <row r="20" spans="2:16" ht="7.5" customHeight="1" x14ac:dyDescent="0.25"/>
    <row r="21" spans="2:16" x14ac:dyDescent="0.25">
      <c r="D21" s="1" t="s">
        <v>181</v>
      </c>
      <c r="F21" s="232">
        <v>800000</v>
      </c>
      <c r="G21" s="232"/>
      <c r="I21" s="153">
        <f>Catálogos!$N$24</f>
        <v>1350000</v>
      </c>
      <c r="M21" s="129" t="str">
        <f>IF(N19&gt;Catálogos!K13,Catálogos!J13,"")</f>
        <v/>
      </c>
    </row>
    <row r="22" spans="2:16" ht="7.5" customHeight="1" x14ac:dyDescent="0.25">
      <c r="D22" s="1"/>
      <c r="F22" s="227"/>
      <c r="G22" s="227"/>
      <c r="I22" s="153"/>
      <c r="M22" s="129"/>
    </row>
    <row r="23" spans="2:16" x14ac:dyDescent="0.25">
      <c r="B23" s="125" t="s">
        <v>201</v>
      </c>
      <c r="E23" s="151"/>
    </row>
    <row r="24" spans="2:16" x14ac:dyDescent="0.25">
      <c r="B24" s="240" t="s">
        <v>12</v>
      </c>
      <c r="C24" s="240"/>
      <c r="D24" s="240"/>
      <c r="E24" s="240"/>
      <c r="F24" s="240"/>
      <c r="G24" s="240"/>
      <c r="H24" s="240"/>
      <c r="I24" s="240"/>
      <c r="J24" s="240"/>
      <c r="K24" s="240"/>
      <c r="L24" s="240"/>
      <c r="M24" s="240"/>
      <c r="N24" s="240"/>
      <c r="O24" s="240"/>
      <c r="P24" s="240"/>
    </row>
    <row r="25" spans="2:16" x14ac:dyDescent="0.25">
      <c r="G25" s="7" t="s">
        <v>55</v>
      </c>
      <c r="H25" s="5" t="str">
        <f>F11</f>
        <v>Hipoteca Fuerte</v>
      </c>
      <c r="I25" s="5"/>
      <c r="J25" s="5"/>
      <c r="K25" s="7" t="s">
        <v>54</v>
      </c>
      <c r="L25" s="8"/>
    </row>
    <row r="26" spans="2:16" x14ac:dyDescent="0.25">
      <c r="G26" s="7" t="s">
        <v>57</v>
      </c>
      <c r="H26" s="8">
        <f>F15</f>
        <v>3000000</v>
      </c>
      <c r="I26" s="5"/>
      <c r="J26" s="9"/>
      <c r="K26" s="7" t="s">
        <v>56</v>
      </c>
      <c r="L26" s="8">
        <v>0</v>
      </c>
    </row>
    <row r="27" spans="2:16" x14ac:dyDescent="0.25">
      <c r="G27" s="7" t="s">
        <v>198</v>
      </c>
      <c r="H27" s="8">
        <f>F19</f>
        <v>1200000</v>
      </c>
      <c r="I27" s="5"/>
      <c r="J27" s="5"/>
      <c r="K27" s="7" t="s">
        <v>58</v>
      </c>
      <c r="L27" s="8">
        <f>Avalúos!$I$6*1.16</f>
        <v>8700</v>
      </c>
      <c r="M27" s="125" t="s">
        <v>142</v>
      </c>
    </row>
    <row r="28" spans="2:16" x14ac:dyDescent="0.25">
      <c r="G28" s="7" t="s">
        <v>199</v>
      </c>
      <c r="H28" s="8">
        <f>F21</f>
        <v>800000</v>
      </c>
      <c r="I28" s="10"/>
      <c r="J28" s="11"/>
      <c r="K28" s="7" t="s">
        <v>194</v>
      </c>
      <c r="L28" s="8">
        <f>'Notariales Estados'!$G$1</f>
        <v>12931.034482758621</v>
      </c>
      <c r="M28" s="125" t="s">
        <v>143</v>
      </c>
    </row>
    <row r="29" spans="2:16" x14ac:dyDescent="0.25">
      <c r="G29" s="7" t="s">
        <v>59</v>
      </c>
      <c r="H29" s="12">
        <f>N9</f>
        <v>240</v>
      </c>
      <c r="I29" s="9"/>
      <c r="J29" s="11"/>
      <c r="K29" s="7" t="s">
        <v>177</v>
      </c>
      <c r="L29" s="8">
        <f>F21*H30</f>
        <v>17600</v>
      </c>
      <c r="M29" s="125" t="s">
        <v>143</v>
      </c>
    </row>
    <row r="30" spans="2:16" ht="13.5" customHeight="1" x14ac:dyDescent="0.25">
      <c r="B30" s="233" t="s">
        <v>64</v>
      </c>
      <c r="C30" s="233"/>
      <c r="D30" s="233"/>
      <c r="E30" s="233"/>
      <c r="F30" s="233"/>
      <c r="G30" s="7" t="s">
        <v>178</v>
      </c>
      <c r="H30" s="130">
        <f>'Notariales Estados'!$E$1</f>
        <v>2.1999999999999999E-2</v>
      </c>
      <c r="I30" s="9"/>
      <c r="J30" s="11"/>
      <c r="K30" s="7" t="s">
        <v>60</v>
      </c>
      <c r="L30" s="8">
        <v>750</v>
      </c>
    </row>
    <row r="31" spans="2:16" x14ac:dyDescent="0.25">
      <c r="B31" s="233"/>
      <c r="C31" s="233"/>
      <c r="D31" s="233"/>
      <c r="E31" s="233"/>
      <c r="F31" s="233"/>
      <c r="G31" s="7" t="s">
        <v>63</v>
      </c>
      <c r="H31" s="9" t="str">
        <f>N7</f>
        <v>Básico</v>
      </c>
      <c r="I31" s="6"/>
      <c r="J31" s="6"/>
      <c r="K31" s="7" t="s">
        <v>61</v>
      </c>
      <c r="L31" s="8">
        <v>0</v>
      </c>
    </row>
    <row r="32" spans="2:16" x14ac:dyDescent="0.25">
      <c r="B32" s="233"/>
      <c r="C32" s="233"/>
      <c r="D32" s="233"/>
      <c r="E32" s="233"/>
      <c r="F32" s="233"/>
      <c r="G32" s="241" t="s">
        <v>62</v>
      </c>
      <c r="H32" s="241"/>
      <c r="I32" s="13"/>
      <c r="J32" s="14"/>
      <c r="K32" s="15"/>
      <c r="L32" s="16">
        <f>SUM(L26:L31)</f>
        <v>39981.034482758623</v>
      </c>
    </row>
    <row r="33" spans="2:17" ht="7.5" customHeight="1" x14ac:dyDescent="0.25"/>
    <row r="34" spans="2:17" x14ac:dyDescent="0.25">
      <c r="I34" s="234" t="s">
        <v>196</v>
      </c>
      <c r="J34" s="234"/>
    </row>
    <row r="35" spans="2:17" x14ac:dyDescent="0.25">
      <c r="I35" s="236" t="s">
        <v>195</v>
      </c>
      <c r="J35" s="236"/>
    </row>
    <row r="36" spans="2:17" ht="7.5" customHeight="1" x14ac:dyDescent="0.25"/>
    <row r="37" spans="2:17" x14ac:dyDescent="0.25">
      <c r="B37" s="240" t="str">
        <f>"Tabla de Pagos "&amp;I35</f>
        <v>Tabla de Pagos Liquidez</v>
      </c>
      <c r="C37" s="240"/>
      <c r="D37" s="240"/>
      <c r="E37" s="240"/>
      <c r="F37" s="240"/>
      <c r="G37" s="240"/>
      <c r="H37" s="240"/>
      <c r="I37" s="240"/>
      <c r="J37" s="240"/>
      <c r="K37" s="240"/>
      <c r="L37" s="240"/>
      <c r="M37" s="240"/>
      <c r="N37" s="240"/>
      <c r="O37" s="240"/>
      <c r="P37" s="240"/>
    </row>
    <row r="38" spans="2:17" ht="9" customHeight="1" x14ac:dyDescent="0.25"/>
    <row r="39" spans="2:17" x14ac:dyDescent="0.25">
      <c r="B39" s="247" t="s">
        <v>65</v>
      </c>
      <c r="C39" s="247"/>
      <c r="D39" s="247"/>
      <c r="E39" s="229">
        <v>9.3799999999999994E-2</v>
      </c>
      <c r="K39" s="18"/>
      <c r="L39" s="17" t="s">
        <v>67</v>
      </c>
      <c r="N39" s="242" t="s">
        <v>115</v>
      </c>
      <c r="O39" s="243"/>
    </row>
    <row r="40" spans="2:17" ht="8.25" customHeight="1" x14ac:dyDescent="0.25"/>
    <row r="41" spans="2:17" x14ac:dyDescent="0.25">
      <c r="B41" s="238" t="s">
        <v>68</v>
      </c>
      <c r="C41" s="238"/>
      <c r="D41" s="20">
        <f>CAT!$K$8</f>
        <v>0.10718138419196266</v>
      </c>
      <c r="E41" s="239" t="s">
        <v>69</v>
      </c>
      <c r="F41" s="239"/>
      <c r="L41" s="21" t="s">
        <v>70</v>
      </c>
      <c r="M41" s="22">
        <f>COUNT(Q44:Q283)</f>
        <v>132</v>
      </c>
      <c r="N41" s="19" t="s">
        <v>71</v>
      </c>
    </row>
    <row r="42" spans="2:17" ht="7.5" customHeight="1" x14ac:dyDescent="0.25"/>
    <row r="43" spans="2:17" s="123" customFormat="1" ht="63.75" customHeight="1" x14ac:dyDescent="0.2">
      <c r="B43" s="23" t="s">
        <v>72</v>
      </c>
      <c r="C43" s="23" t="s">
        <v>73</v>
      </c>
      <c r="D43" s="23" t="s">
        <v>74</v>
      </c>
      <c r="E43" s="23" t="s">
        <v>53</v>
      </c>
      <c r="F43" s="23" t="s">
        <v>75</v>
      </c>
      <c r="G43" s="23" t="s">
        <v>76</v>
      </c>
      <c r="H43" s="23" t="s">
        <v>77</v>
      </c>
      <c r="I43" s="23" t="str">
        <f>IF(OR(I11="SI",I15="SI",Catálogos!$R$12=2),"IVA de intereses","")</f>
        <v>IVA de intereses</v>
      </c>
      <c r="J43" s="23" t="s">
        <v>78</v>
      </c>
      <c r="K43" s="23" t="s">
        <v>79</v>
      </c>
      <c r="L43" s="23" t="s">
        <v>80</v>
      </c>
      <c r="M43" s="23" t="s">
        <v>81</v>
      </c>
      <c r="N43" s="23" t="str">
        <f>IF(Catálogos!K1=1,"Penalización por pago anticipado de crédito","")</f>
        <v>Penalización por pago anticipado de crédito</v>
      </c>
      <c r="O43" s="23" t="s">
        <v>82</v>
      </c>
      <c r="P43" s="23" t="s">
        <v>83</v>
      </c>
    </row>
    <row r="44" spans="2:17" x14ac:dyDescent="0.25">
      <c r="B44" s="131">
        <v>1</v>
      </c>
      <c r="C44" s="132">
        <f ca="1">IF(B44="","",'Fecha Pago'!K4)</f>
        <v>45719</v>
      </c>
      <c r="D44" s="133">
        <f ca="1">IF(B44="","",'Fecha Pago'!L4)</f>
        <v>15</v>
      </c>
      <c r="E44" s="134">
        <f t="shared" ref="E44:E107" si="0">IF(B44="","",$E$39)</f>
        <v>9.3799999999999994E-2</v>
      </c>
      <c r="F44" s="135">
        <f>IF(Catálogos!$R$12=1,Carátula!$H$27,Carátula!$H$28)</f>
        <v>800000</v>
      </c>
      <c r="G44" s="135">
        <f>IF(B44="","",IF(F44=0,0,MIN(F44,IF(Catálogos!$N$6=1,Prepagos!C3,IF(Catálogos!$N$6=2,Prepagos!D3,IF(Catálogos!$N$6=3,Prepagos!E3,))))))</f>
        <v>1122.9854775705799</v>
      </c>
      <c r="H44" s="135">
        <f ca="1">IF(B44="","",IF(F44=0,0,(E44/360*D44)*F44))</f>
        <v>3126.6666666666665</v>
      </c>
      <c r="I44" s="135">
        <f ca="1">IF(B44="","",IF($I$43&lt;&gt;"",H44*0.16,0))</f>
        <v>500.26666666666665</v>
      </c>
      <c r="J44" s="135">
        <f ca="1">IF(B44="","",IF(F44=0,0,F44*(Catálogos!$R$1)/30*D44))</f>
        <v>239.99999999999997</v>
      </c>
      <c r="K44" s="135">
        <f>IF(B44="","",IF(Catálogos!$K$10=1,Carátula!$F$17*Catálogos!$R$4/30*D44,0))</f>
        <v>0</v>
      </c>
      <c r="L44" s="135">
        <f>IF(B44="","",IF(F44=0,0,CAT!H7))</f>
        <v>0</v>
      </c>
      <c r="M44" s="124"/>
      <c r="N44" s="135">
        <f>IF(B44="","",IF(M44&gt;0,M44-(M44/(1+Catálogos!$N$10)),0))</f>
        <v>0</v>
      </c>
      <c r="O44" s="135">
        <f ca="1">IF(B44="","",G44+H44+I44+J44+K44+L44)</f>
        <v>4989.9188109039133</v>
      </c>
      <c r="P44" s="135">
        <f t="shared" ref="P44:P107" si="1">IF(B44="","",F44-G44)</f>
        <v>798877.01452242944</v>
      </c>
      <c r="Q44" s="136">
        <f t="shared" ref="Q44:Q107" si="2">IF(OR(B44="",F44=0),"",1)</f>
        <v>1</v>
      </c>
    </row>
    <row r="45" spans="2:17" x14ac:dyDescent="0.25">
      <c r="B45" s="131">
        <f t="shared" ref="B45:B108" si="3">IF(B44=$H$29,"",IF(B44="","",B44+1))</f>
        <v>2</v>
      </c>
      <c r="C45" s="132">
        <f ca="1">IF(B45="","",'Fecha Pago'!K5)</f>
        <v>45750</v>
      </c>
      <c r="D45" s="133">
        <f>IF(B45="","",'Fecha Pago'!L5)</f>
        <v>30.4</v>
      </c>
      <c r="E45" s="134">
        <f t="shared" si="0"/>
        <v>9.3799999999999994E-2</v>
      </c>
      <c r="F45" s="135">
        <f t="shared" ref="F45:F108" si="4">IF(B45="","",P44)</f>
        <v>798877.01452242944</v>
      </c>
      <c r="G45" s="135">
        <f>IF(B45="","",IF(F45=0,0,MIN(F45,IF(Catálogos!$N$6=1,Prepagos!C4,IF(Catálogos!$N$6=2,Prepagos!D4,IF(Catálogos!$N$6=3,Prepagos!E4,))))))</f>
        <v>196597.08771388186</v>
      </c>
      <c r="H45" s="135">
        <f t="shared" ref="H45:H108" si="5">IF(B45="","",IF(F45=0,0,(E45/360*D45)*F45))</f>
        <v>6327.8160679194389</v>
      </c>
      <c r="I45" s="135">
        <f t="shared" ref="I45:I108" si="6">IF(B45="","",IF($I$43&lt;&gt;"",H45*0.16,0))</f>
        <v>1012.4505708671103</v>
      </c>
      <c r="J45" s="135">
        <f>IF(B45="","",IF(F45=0,0,F45*Catálogos!$R$1))</f>
        <v>479.32620871345762</v>
      </c>
      <c r="K45" s="135">
        <f>IF(B45="","",IF(Catálogos!$K$10=1,Carátula!$F$17*Catálogos!$R$4,0))</f>
        <v>0</v>
      </c>
      <c r="L45" s="135">
        <f>IF(B45="","",IF(F45=0,0,CAT!H8))</f>
        <v>0</v>
      </c>
      <c r="M45" s="124">
        <v>200000</v>
      </c>
      <c r="N45" s="135">
        <f>IF(B45="","",IF(M45&gt;0,M45-(M45/(1+Catálogos!$N$10)),0))</f>
        <v>4534.7928068804031</v>
      </c>
      <c r="O45" s="135">
        <f t="shared" ref="O45:O108" si="7">IF(B45="","",G45+H45+I45+J45+K45+L45)</f>
        <v>204416.68056138186</v>
      </c>
      <c r="P45" s="135">
        <f t="shared" si="1"/>
        <v>602279.92680854758</v>
      </c>
      <c r="Q45" s="136">
        <f t="shared" si="2"/>
        <v>1</v>
      </c>
    </row>
    <row r="46" spans="2:17" x14ac:dyDescent="0.25">
      <c r="B46" s="131">
        <f t="shared" si="3"/>
        <v>3</v>
      </c>
      <c r="C46" s="132">
        <f ca="1">IF(B46="","",'Fecha Pago'!K6)</f>
        <v>45780</v>
      </c>
      <c r="D46" s="133">
        <f>IF(B46="","",'Fecha Pago'!L6)</f>
        <v>30.4</v>
      </c>
      <c r="E46" s="134">
        <f t="shared" si="0"/>
        <v>9.3799999999999994E-2</v>
      </c>
      <c r="F46" s="135">
        <f t="shared" si="4"/>
        <v>602279.92680854758</v>
      </c>
      <c r="G46" s="135">
        <f>IF(B46="","",IF(F46=0,0,MIN(F46,IF(Catálogos!$N$6=1,Prepagos!C5,IF(Catálogos!$N$6=2,Prepagos!D5,IF(Catálogos!$N$6=3,Prepagos!E5,))))))</f>
        <v>2689.104208423053</v>
      </c>
      <c r="H46" s="135">
        <f t="shared" si="5"/>
        <v>4770.5923802586376</v>
      </c>
      <c r="I46" s="135">
        <f t="shared" si="6"/>
        <v>763.29478084138202</v>
      </c>
      <c r="J46" s="135">
        <f>IF(B46="","",IF(F46=0,0,F46*Catálogos!$R$1))</f>
        <v>361.36795608512853</v>
      </c>
      <c r="K46" s="135">
        <f>IF(B46="","",IF(Catálogos!$K$10=1,Carátula!$F$17*Catálogos!$R$4,0))</f>
        <v>0</v>
      </c>
      <c r="L46" s="135">
        <f>IF(B46="","",IF(F46=0,0,CAT!H9))</f>
        <v>0</v>
      </c>
      <c r="M46" s="124"/>
      <c r="N46" s="135">
        <f>IF(B46="","",IF(M46&gt;0,M46-(M46/(1+Catálogos!$N$10)),0))</f>
        <v>0</v>
      </c>
      <c r="O46" s="135">
        <f t="shared" si="7"/>
        <v>8584.3593256082022</v>
      </c>
      <c r="P46" s="135">
        <f t="shared" si="1"/>
        <v>599590.82260012452</v>
      </c>
      <c r="Q46" s="136">
        <f t="shared" si="2"/>
        <v>1</v>
      </c>
    </row>
    <row r="47" spans="2:17" x14ac:dyDescent="0.25">
      <c r="B47" s="131">
        <f t="shared" si="3"/>
        <v>4</v>
      </c>
      <c r="C47" s="132">
        <f ca="1">IF(B47="","",'Fecha Pago'!K7)</f>
        <v>45811</v>
      </c>
      <c r="D47" s="133">
        <f>IF(B47="","",'Fecha Pago'!L7)</f>
        <v>30.4</v>
      </c>
      <c r="E47" s="134">
        <f t="shared" si="0"/>
        <v>9.3799999999999994E-2</v>
      </c>
      <c r="F47" s="135">
        <f t="shared" si="4"/>
        <v>599590.82260012452</v>
      </c>
      <c r="G47" s="135">
        <f>IF(B47="","",IF(F47=0,0,MIN(F47,IF(Catálogos!$N$6=1,Prepagos!C6,IF(Catálogos!$N$6=2,Prepagos!D6,IF(Catálogos!$N$6=3,Prepagos!E6,))))))</f>
        <v>2710.4043040686156</v>
      </c>
      <c r="H47" s="135">
        <f t="shared" si="5"/>
        <v>4749.292284613075</v>
      </c>
      <c r="I47" s="135">
        <f t="shared" si="6"/>
        <v>759.88676553809205</v>
      </c>
      <c r="J47" s="135">
        <f>IF(B47="","",IF(F47=0,0,F47*Catálogos!$R$1))</f>
        <v>359.75449356007471</v>
      </c>
      <c r="K47" s="135">
        <f>IF(B47="","",IF(Catálogos!$K$10=1,Carátula!$F$17*Catálogos!$R$4,0))</f>
        <v>0</v>
      </c>
      <c r="L47" s="135">
        <f>IF(B47="","",IF(F47=0,0,CAT!H10))</f>
        <v>0</v>
      </c>
      <c r="M47" s="124"/>
      <c r="N47" s="135">
        <f>IF(B47="","",IF(M47&gt;0,M47-(M47/(1+Catálogos!$N$10)),0))</f>
        <v>0</v>
      </c>
      <c r="O47" s="135">
        <f t="shared" si="7"/>
        <v>8579.3378477798578</v>
      </c>
      <c r="P47" s="135">
        <f t="shared" si="1"/>
        <v>596880.41829605587</v>
      </c>
      <c r="Q47" s="136">
        <f t="shared" si="2"/>
        <v>1</v>
      </c>
    </row>
    <row r="48" spans="2:17" x14ac:dyDescent="0.25">
      <c r="B48" s="131">
        <f t="shared" si="3"/>
        <v>5</v>
      </c>
      <c r="C48" s="132">
        <f ca="1">IF(B48="","",'Fecha Pago'!K8)</f>
        <v>45841</v>
      </c>
      <c r="D48" s="133">
        <f>IF(B48="","",'Fecha Pago'!L8)</f>
        <v>30.4</v>
      </c>
      <c r="E48" s="134">
        <f t="shared" si="0"/>
        <v>9.3799999999999994E-2</v>
      </c>
      <c r="F48" s="135">
        <f t="shared" si="4"/>
        <v>596880.41829605587</v>
      </c>
      <c r="G48" s="135">
        <f>IF(B48="","",IF(F48=0,0,MIN(F48,IF(Catálogos!$N$6=1,Prepagos!C7,IF(Catálogos!$N$6=2,Prepagos!D7,IF(Catálogos!$N$6=3,Prepagos!E7,))))))</f>
        <v>2731.8731154051093</v>
      </c>
      <c r="H48" s="135">
        <f t="shared" si="5"/>
        <v>4727.8234732765814</v>
      </c>
      <c r="I48" s="135">
        <f t="shared" si="6"/>
        <v>756.45175572425308</v>
      </c>
      <c r="J48" s="135">
        <f>IF(B48="","",IF(F48=0,0,F48*Catálogos!$R$1))</f>
        <v>358.12825097763351</v>
      </c>
      <c r="K48" s="135">
        <f>IF(B48="","",IF(Catálogos!$K$10=1,Carátula!$F$17*Catálogos!$R$4,0))</f>
        <v>0</v>
      </c>
      <c r="L48" s="135">
        <f>IF(B48="","",IF(F48=0,0,CAT!H11))</f>
        <v>0</v>
      </c>
      <c r="M48" s="124"/>
      <c r="N48" s="135">
        <f>IF(B48="","",IF(M48&gt;0,M48-(M48/(1+Catálogos!$N$10)),0))</f>
        <v>0</v>
      </c>
      <c r="O48" s="135">
        <f t="shared" si="7"/>
        <v>8574.2765953835769</v>
      </c>
      <c r="P48" s="135">
        <f t="shared" si="1"/>
        <v>594148.54518065078</v>
      </c>
      <c r="Q48" s="136">
        <f t="shared" si="2"/>
        <v>1</v>
      </c>
    </row>
    <row r="49" spans="2:17" x14ac:dyDescent="0.25">
      <c r="B49" s="131">
        <f t="shared" si="3"/>
        <v>6</v>
      </c>
      <c r="C49" s="132">
        <f ca="1">IF(B49="","",'Fecha Pago'!K9)</f>
        <v>45872</v>
      </c>
      <c r="D49" s="133">
        <f>IF(B49="","",'Fecha Pago'!L9)</f>
        <v>30.4</v>
      </c>
      <c r="E49" s="134">
        <f t="shared" si="0"/>
        <v>9.3799999999999994E-2</v>
      </c>
      <c r="F49" s="135">
        <f t="shared" si="4"/>
        <v>594148.54518065078</v>
      </c>
      <c r="G49" s="135">
        <f>IF(B49="","",IF(F49=0,0,MIN(F49,IF(Catálogos!$N$6=1,Prepagos!C8,IF(Catálogos!$N$6=2,Prepagos!D8,IF(Catálogos!$N$6=3,Prepagos!E8,))))))</f>
        <v>2753.5119788107759</v>
      </c>
      <c r="H49" s="135">
        <f t="shared" si="5"/>
        <v>4706.1846098709148</v>
      </c>
      <c r="I49" s="135">
        <f t="shared" si="6"/>
        <v>752.98953757934635</v>
      </c>
      <c r="J49" s="135">
        <f>IF(B49="","",IF(F49=0,0,F49*Catálogos!$R$1))</f>
        <v>356.48912710839045</v>
      </c>
      <c r="K49" s="135">
        <f>IF(B49="","",IF(Catálogos!$K$10=1,Carátula!$F$17*Catálogos!$R$4,0))</f>
        <v>0</v>
      </c>
      <c r="L49" s="135">
        <f>IF(B49="","",IF(F49=0,0,CAT!H12))</f>
        <v>0</v>
      </c>
      <c r="M49" s="124"/>
      <c r="N49" s="135">
        <f>IF(B49="","",IF(M49&gt;0,M49-(M49/(1+Catálogos!$N$10)),0))</f>
        <v>0</v>
      </c>
      <c r="O49" s="135">
        <f t="shared" si="7"/>
        <v>8569.1752533694271</v>
      </c>
      <c r="P49" s="135">
        <f t="shared" si="1"/>
        <v>591395.03320184001</v>
      </c>
      <c r="Q49" s="136">
        <f t="shared" si="2"/>
        <v>1</v>
      </c>
    </row>
    <row r="50" spans="2:17" x14ac:dyDescent="0.25">
      <c r="B50" s="131">
        <f t="shared" si="3"/>
        <v>7</v>
      </c>
      <c r="C50" s="132">
        <f ca="1">IF(B50="","",'Fecha Pago'!K10)</f>
        <v>45903</v>
      </c>
      <c r="D50" s="133">
        <f>IF(B50="","",'Fecha Pago'!L10)</f>
        <v>30.4</v>
      </c>
      <c r="E50" s="134">
        <f t="shared" si="0"/>
        <v>9.3799999999999994E-2</v>
      </c>
      <c r="F50" s="135">
        <f t="shared" si="4"/>
        <v>591395.03320184001</v>
      </c>
      <c r="G50" s="135">
        <f>IF(B50="","",IF(F50=0,0,MIN(F50,IF(Catálogos!$N$6=1,Prepagos!C9,IF(Catálogos!$N$6=2,Prepagos!D9,IF(Catálogos!$N$6=3,Prepagos!E9,))))))</f>
        <v>2775.3222412491605</v>
      </c>
      <c r="H50" s="135">
        <f t="shared" si="5"/>
        <v>4684.3743474325302</v>
      </c>
      <c r="I50" s="135">
        <f t="shared" si="6"/>
        <v>749.49989558920481</v>
      </c>
      <c r="J50" s="135">
        <f>IF(B50="","",IF(F50=0,0,F50*Catálogos!$R$1))</f>
        <v>354.837019921104</v>
      </c>
      <c r="K50" s="135">
        <f>IF(B50="","",IF(Catálogos!$K$10=1,Carátula!$F$17*Catálogos!$R$4,0))</f>
        <v>0</v>
      </c>
      <c r="L50" s="135">
        <f>IF(B50="","",IF(F50=0,0,CAT!H13))</f>
        <v>0</v>
      </c>
      <c r="M50" s="124"/>
      <c r="N50" s="135">
        <f>IF(B50="","",IF(M50&gt;0,M50-(M50/(1+Catálogos!$N$10)),0))</f>
        <v>0</v>
      </c>
      <c r="O50" s="135">
        <f t="shared" si="7"/>
        <v>8564.0335041919989</v>
      </c>
      <c r="P50" s="135">
        <f t="shared" si="1"/>
        <v>588619.71096059086</v>
      </c>
      <c r="Q50" s="136">
        <f t="shared" si="2"/>
        <v>1</v>
      </c>
    </row>
    <row r="51" spans="2:17" x14ac:dyDescent="0.25">
      <c r="B51" s="131">
        <f t="shared" si="3"/>
        <v>8</v>
      </c>
      <c r="C51" s="132">
        <f ca="1">IF(B51="","",'Fecha Pago'!K11)</f>
        <v>45933</v>
      </c>
      <c r="D51" s="133">
        <f>IF(B51="","",'Fecha Pago'!L11)</f>
        <v>30.4</v>
      </c>
      <c r="E51" s="134">
        <f t="shared" si="0"/>
        <v>9.3799999999999994E-2</v>
      </c>
      <c r="F51" s="135">
        <f t="shared" si="4"/>
        <v>588619.71096059086</v>
      </c>
      <c r="G51" s="135">
        <f>IF(B51="","",IF(F51=0,0,MIN(F51,IF(Catálogos!$N$6=1,Prepagos!C10,IF(Catálogos!$N$6=2,Prepagos!D10,IF(Catálogos!$N$6=3,Prepagos!E10,))))))</f>
        <v>2797.3052603529568</v>
      </c>
      <c r="H51" s="135">
        <f t="shared" si="5"/>
        <v>4662.3913283287338</v>
      </c>
      <c r="I51" s="135">
        <f t="shared" si="6"/>
        <v>745.98261253259739</v>
      </c>
      <c r="J51" s="135">
        <f>IF(B51="","",IF(F51=0,0,F51*Catálogos!$R$1))</f>
        <v>353.17182657635448</v>
      </c>
      <c r="K51" s="135">
        <f>IF(B51="","",IF(Catálogos!$K$10=1,Carátula!$F$17*Catálogos!$R$4,0))</f>
        <v>0</v>
      </c>
      <c r="L51" s="135">
        <f>IF(B51="","",IF(F51=0,0,CAT!H14))</f>
        <v>0</v>
      </c>
      <c r="M51" s="124"/>
      <c r="N51" s="135">
        <f>IF(B51="","",IF(M51&gt;0,M51-(M51/(1+Catálogos!$N$10)),0))</f>
        <v>0</v>
      </c>
      <c r="O51" s="135">
        <f t="shared" si="7"/>
        <v>8558.8510277906425</v>
      </c>
      <c r="P51" s="135">
        <f t="shared" si="1"/>
        <v>585822.40570023796</v>
      </c>
      <c r="Q51" s="136">
        <f t="shared" si="2"/>
        <v>1</v>
      </c>
    </row>
    <row r="52" spans="2:17" x14ac:dyDescent="0.25">
      <c r="B52" s="131">
        <f t="shared" si="3"/>
        <v>9</v>
      </c>
      <c r="C52" s="132">
        <f ca="1">IF(B52="","",'Fecha Pago'!K12)</f>
        <v>45964</v>
      </c>
      <c r="D52" s="133">
        <f>IF(B52="","",'Fecha Pago'!L12)</f>
        <v>30.4</v>
      </c>
      <c r="E52" s="134">
        <f t="shared" si="0"/>
        <v>9.3799999999999994E-2</v>
      </c>
      <c r="F52" s="135">
        <f t="shared" si="4"/>
        <v>585822.40570023796</v>
      </c>
      <c r="G52" s="135">
        <f>IF(B52="","",IF(F52=0,0,MIN(F52,IF(Catálogos!$N$6=1,Prepagos!C11,IF(Catálogos!$N$6=2,Prepagos!D11,IF(Catálogos!$N$6=3,Prepagos!E11,))))))</f>
        <v>2819.4624045085166</v>
      </c>
      <c r="H52" s="135">
        <f t="shared" si="5"/>
        <v>4640.2341841731741</v>
      </c>
      <c r="I52" s="135">
        <f t="shared" si="6"/>
        <v>742.43746946770784</v>
      </c>
      <c r="J52" s="135">
        <f>IF(B52="","",IF(F52=0,0,F52*Catálogos!$R$1))</f>
        <v>351.49344342014274</v>
      </c>
      <c r="K52" s="135">
        <f>IF(B52="","",IF(Catálogos!$K$10=1,Carátula!$F$17*Catálogos!$R$4,0))</f>
        <v>0</v>
      </c>
      <c r="L52" s="135">
        <f>IF(B52="","",IF(F52=0,0,CAT!H15))</f>
        <v>0</v>
      </c>
      <c r="M52" s="124"/>
      <c r="N52" s="135">
        <f>IF(B52="","",IF(M52&gt;0,M52-(M52/(1+Catálogos!$N$10)),0))</f>
        <v>0</v>
      </c>
      <c r="O52" s="135">
        <f t="shared" si="7"/>
        <v>8553.627501569541</v>
      </c>
      <c r="P52" s="135">
        <f t="shared" si="1"/>
        <v>583002.94329572946</v>
      </c>
      <c r="Q52" s="136">
        <f t="shared" si="2"/>
        <v>1</v>
      </c>
    </row>
    <row r="53" spans="2:17" x14ac:dyDescent="0.25">
      <c r="B53" s="131">
        <f t="shared" si="3"/>
        <v>10</v>
      </c>
      <c r="C53" s="132">
        <f ca="1">IF(B53="","",'Fecha Pago'!K13)</f>
        <v>45994</v>
      </c>
      <c r="D53" s="133">
        <f>IF(B53="","",'Fecha Pago'!L13)</f>
        <v>30.4</v>
      </c>
      <c r="E53" s="134">
        <f t="shared" si="0"/>
        <v>9.3799999999999994E-2</v>
      </c>
      <c r="F53" s="135">
        <f t="shared" si="4"/>
        <v>583002.94329572946</v>
      </c>
      <c r="G53" s="135">
        <f>IF(B53="","",IF(F53=0,0,MIN(F53,IF(Catálogos!$N$6=1,Prepagos!C12,IF(Catálogos!$N$6=2,Prepagos!D12,IF(Catálogos!$N$6=3,Prepagos!E12,))))))</f>
        <v>2841.7950529410282</v>
      </c>
      <c r="H53" s="135">
        <f t="shared" si="5"/>
        <v>4617.9015357406624</v>
      </c>
      <c r="I53" s="135">
        <f t="shared" si="6"/>
        <v>738.86424571850603</v>
      </c>
      <c r="J53" s="135">
        <f>IF(B53="","",IF(F53=0,0,F53*Catálogos!$R$1))</f>
        <v>349.80176597743764</v>
      </c>
      <c r="K53" s="135">
        <f>IF(B53="","",IF(Catálogos!$K$10=1,Carátula!$F$17*Catálogos!$R$4,0))</f>
        <v>0</v>
      </c>
      <c r="L53" s="135">
        <f>IF(B53="","",IF(F53=0,0,CAT!H16))</f>
        <v>0</v>
      </c>
      <c r="M53" s="124"/>
      <c r="N53" s="135">
        <f>IF(B53="","",IF(M53&gt;0,M53-(M53/(1+Catálogos!$N$10)),0))</f>
        <v>0</v>
      </c>
      <c r="O53" s="135">
        <f t="shared" si="7"/>
        <v>8548.3626003776335</v>
      </c>
      <c r="P53" s="135">
        <f t="shared" si="1"/>
        <v>580161.14824278839</v>
      </c>
      <c r="Q53" s="136">
        <f t="shared" si="2"/>
        <v>1</v>
      </c>
    </row>
    <row r="54" spans="2:17" x14ac:dyDescent="0.25">
      <c r="B54" s="131">
        <f t="shared" si="3"/>
        <v>11</v>
      </c>
      <c r="C54" s="132">
        <f ca="1">IF(B54="","",'Fecha Pago'!K14)</f>
        <v>46025</v>
      </c>
      <c r="D54" s="133">
        <f>IF(B54="","",'Fecha Pago'!L14)</f>
        <v>30.4</v>
      </c>
      <c r="E54" s="134">
        <f t="shared" si="0"/>
        <v>9.3799999999999994E-2</v>
      </c>
      <c r="F54" s="135">
        <f t="shared" si="4"/>
        <v>580161.14824278839</v>
      </c>
      <c r="G54" s="135">
        <f>IF(B54="","",IF(F54=0,0,MIN(F54,IF(Catálogos!$N$6=1,Prepagos!C13,IF(Catálogos!$N$6=2,Prepagos!D13,IF(Catálogos!$N$6=3,Prepagos!E13,))))))</f>
        <v>2864.3045958003686</v>
      </c>
      <c r="H54" s="135">
        <f t="shared" si="5"/>
        <v>4595.391992881322</v>
      </c>
      <c r="I54" s="135">
        <f t="shared" si="6"/>
        <v>735.26271886101154</v>
      </c>
      <c r="J54" s="135">
        <f>IF(B54="","",IF(F54=0,0,F54*Catálogos!$R$1))</f>
        <v>348.09668894567301</v>
      </c>
      <c r="K54" s="135">
        <f>IF(B54="","",IF(Catálogos!$K$10=1,Carátula!$F$17*Catálogos!$R$4,0))</f>
        <v>0</v>
      </c>
      <c r="L54" s="135">
        <f>IF(B54="","",IF(F54=0,0,CAT!H17))</f>
        <v>0</v>
      </c>
      <c r="M54" s="124"/>
      <c r="N54" s="135">
        <f>IF(B54="","",IF(M54&gt;0,M54-(M54/(1+Catálogos!$N$10)),0))</f>
        <v>0</v>
      </c>
      <c r="O54" s="135">
        <f t="shared" si="7"/>
        <v>8543.0559964883741</v>
      </c>
      <c r="P54" s="135">
        <f t="shared" si="1"/>
        <v>577296.84364698804</v>
      </c>
      <c r="Q54" s="136">
        <f t="shared" si="2"/>
        <v>1</v>
      </c>
    </row>
    <row r="55" spans="2:17" x14ac:dyDescent="0.25">
      <c r="B55" s="131">
        <f t="shared" si="3"/>
        <v>12</v>
      </c>
      <c r="C55" s="132">
        <f ca="1">IF(B55="","",'Fecha Pago'!K15)</f>
        <v>46056</v>
      </c>
      <c r="D55" s="133">
        <f>IF(B55="","",'Fecha Pago'!L15)</f>
        <v>30.4</v>
      </c>
      <c r="E55" s="134">
        <f t="shared" si="0"/>
        <v>9.3799999999999994E-2</v>
      </c>
      <c r="F55" s="135">
        <f t="shared" si="4"/>
        <v>577296.84364698804</v>
      </c>
      <c r="G55" s="135">
        <f>IF(B55="","",IF(F55=0,0,MIN(F55,IF(Catálogos!$N$6=1,Prepagos!C14,IF(Catálogos!$N$6=2,Prepagos!D14,IF(Catálogos!$N$6=3,Prepagos!E14,))))))</f>
        <v>2886.992434247637</v>
      </c>
      <c r="H55" s="135">
        <f t="shared" si="5"/>
        <v>4572.7041544340536</v>
      </c>
      <c r="I55" s="135">
        <f t="shared" si="6"/>
        <v>731.63266470944859</v>
      </c>
      <c r="J55" s="135">
        <f>IF(B55="","",IF(F55=0,0,F55*Catálogos!$R$1))</f>
        <v>346.37810618819282</v>
      </c>
      <c r="K55" s="135">
        <f>IF(B55="","",IF(Catálogos!$K$10=1,Carátula!$F$17*Catálogos!$R$4,0))</f>
        <v>0</v>
      </c>
      <c r="L55" s="135">
        <f>IF(B55="","",IF(F55=0,0,CAT!H18))</f>
        <v>0</v>
      </c>
      <c r="M55" s="124"/>
      <c r="N55" s="135">
        <f>IF(B55="","",IF(M55&gt;0,M55-(M55/(1+Catálogos!$N$10)),0))</f>
        <v>0</v>
      </c>
      <c r="O55" s="135">
        <f t="shared" si="7"/>
        <v>8537.7073595793318</v>
      </c>
      <c r="P55" s="135">
        <f t="shared" si="1"/>
        <v>574409.85121274041</v>
      </c>
      <c r="Q55" s="136">
        <f t="shared" si="2"/>
        <v>1</v>
      </c>
    </row>
    <row r="56" spans="2:17" x14ac:dyDescent="0.25">
      <c r="B56" s="131">
        <f t="shared" si="3"/>
        <v>13</v>
      </c>
      <c r="C56" s="132">
        <f ca="1">IF(B56="","",'Fecha Pago'!K16)</f>
        <v>46084</v>
      </c>
      <c r="D56" s="133">
        <f>IF(B56="","",'Fecha Pago'!L16)</f>
        <v>30.4</v>
      </c>
      <c r="E56" s="134">
        <f t="shared" si="0"/>
        <v>9.3799999999999994E-2</v>
      </c>
      <c r="F56" s="135">
        <f t="shared" si="4"/>
        <v>574409.85121274041</v>
      </c>
      <c r="G56" s="135">
        <f>IF(B56="","",IF(F56=0,0,MIN(F56,IF(Catálogos!$N$6=1,Prepagos!C15,IF(Catálogos!$N$6=2,Prepagos!D15,IF(Catálogos!$N$6=3,Prepagos!E15,))))))</f>
        <v>2909.8599805423755</v>
      </c>
      <c r="H56" s="135">
        <f t="shared" si="5"/>
        <v>4549.8366081393151</v>
      </c>
      <c r="I56" s="135">
        <f t="shared" si="6"/>
        <v>727.97385730229041</v>
      </c>
      <c r="J56" s="135">
        <f>IF(B56="","",IF(F56=0,0,F56*Catálogos!$R$1))</f>
        <v>344.64591072764421</v>
      </c>
      <c r="K56" s="135">
        <f>IF(B56="","",IF(Catálogos!$K$10=1,Carátula!$F$17*Catálogos!$R$4,0))</f>
        <v>0</v>
      </c>
      <c r="L56" s="135">
        <f>IF(B56="","",IF(F56=0,0,CAT!H19))</f>
        <v>0</v>
      </c>
      <c r="M56" s="124"/>
      <c r="N56" s="135">
        <f>IF(B56="","",IF(M56&gt;0,M56-(M56/(1+Catálogos!$N$10)),0))</f>
        <v>0</v>
      </c>
      <c r="O56" s="135">
        <f t="shared" si="7"/>
        <v>8532.3163567116262</v>
      </c>
      <c r="P56" s="135">
        <f t="shared" si="1"/>
        <v>571499.99123219808</v>
      </c>
      <c r="Q56" s="136">
        <f t="shared" si="2"/>
        <v>1</v>
      </c>
    </row>
    <row r="57" spans="2:17" x14ac:dyDescent="0.25">
      <c r="B57" s="131">
        <f t="shared" si="3"/>
        <v>14</v>
      </c>
      <c r="C57" s="132">
        <f ca="1">IF(B57="","",'Fecha Pago'!K17)</f>
        <v>46115</v>
      </c>
      <c r="D57" s="133">
        <f>IF(B57="","",'Fecha Pago'!L17)</f>
        <v>30.4</v>
      </c>
      <c r="E57" s="134">
        <f t="shared" si="0"/>
        <v>9.3799999999999994E-2</v>
      </c>
      <c r="F57" s="135">
        <f t="shared" si="4"/>
        <v>571499.99123219808</v>
      </c>
      <c r="G57" s="135">
        <f>IF(B57="","",IF(F57=0,0,MIN(F57,IF(Catálogos!$N$6=1,Prepagos!C16,IF(Catálogos!$N$6=2,Prepagos!D16,IF(Catálogos!$N$6=3,Prepagos!E16,))))))</f>
        <v>2932.9086581304755</v>
      </c>
      <c r="H57" s="135">
        <f t="shared" si="5"/>
        <v>4526.7879305512151</v>
      </c>
      <c r="I57" s="135">
        <f t="shared" si="6"/>
        <v>724.28606888819445</v>
      </c>
      <c r="J57" s="135">
        <f>IF(B57="","",IF(F57=0,0,F57*Catálogos!$R$1))</f>
        <v>342.8999947393188</v>
      </c>
      <c r="K57" s="135">
        <f>IF(B57="","",IF(Catálogos!$K$10=1,Carátula!$F$17*Catálogos!$R$4,0))</f>
        <v>0</v>
      </c>
      <c r="L57" s="135">
        <f>IF(B57="","",IF(F57=0,0,CAT!H20))</f>
        <v>0</v>
      </c>
      <c r="M57" s="124"/>
      <c r="N57" s="135">
        <f>IF(B57="","",IF(M57&gt;0,M57-(M57/(1+Catálogos!$N$10)),0))</f>
        <v>0</v>
      </c>
      <c r="O57" s="135">
        <f t="shared" si="7"/>
        <v>8526.8826523092048</v>
      </c>
      <c r="P57" s="135">
        <f t="shared" si="1"/>
        <v>568567.08257406764</v>
      </c>
      <c r="Q57" s="136">
        <f t="shared" si="2"/>
        <v>1</v>
      </c>
    </row>
    <row r="58" spans="2:17" x14ac:dyDescent="0.25">
      <c r="B58" s="131">
        <f t="shared" si="3"/>
        <v>15</v>
      </c>
      <c r="C58" s="132">
        <f ca="1">IF(B58="","",'Fecha Pago'!K18)</f>
        <v>46145</v>
      </c>
      <c r="D58" s="133">
        <f>IF(B58="","",'Fecha Pago'!L18)</f>
        <v>30.4</v>
      </c>
      <c r="E58" s="134">
        <f t="shared" si="0"/>
        <v>9.3799999999999994E-2</v>
      </c>
      <c r="F58" s="135">
        <f t="shared" si="4"/>
        <v>568567.08257406764</v>
      </c>
      <c r="G58" s="135">
        <f>IF(B58="","",IF(F58=0,0,MIN(F58,IF(Catálogos!$N$6=1,Prepagos!C17,IF(Catálogos!$N$6=2,Prepagos!D17,IF(Catálogos!$N$6=3,Prepagos!E17,))))))</f>
        <v>2956.1399017327867</v>
      </c>
      <c r="H58" s="135">
        <f t="shared" si="5"/>
        <v>4503.5566869489039</v>
      </c>
      <c r="I58" s="135">
        <f t="shared" si="6"/>
        <v>720.56906991182461</v>
      </c>
      <c r="J58" s="135">
        <f>IF(B58="","",IF(F58=0,0,F58*Catálogos!$R$1))</f>
        <v>341.14024954444056</v>
      </c>
      <c r="K58" s="135">
        <f>IF(B58="","",IF(Catálogos!$K$10=1,Carátula!$F$17*Catálogos!$R$4,0))</f>
        <v>0</v>
      </c>
      <c r="L58" s="135">
        <f>IF(B58="","",IF(F58=0,0,CAT!H21))</f>
        <v>0</v>
      </c>
      <c r="M58" s="124"/>
      <c r="N58" s="135">
        <f>IF(B58="","",IF(M58&gt;0,M58-(M58/(1+Catálogos!$N$10)),0))</f>
        <v>0</v>
      </c>
      <c r="O58" s="135">
        <f t="shared" si="7"/>
        <v>8521.4059081379564</v>
      </c>
      <c r="P58" s="135">
        <f t="shared" si="1"/>
        <v>565610.94267233484</v>
      </c>
      <c r="Q58" s="136">
        <f t="shared" si="2"/>
        <v>1</v>
      </c>
    </row>
    <row r="59" spans="2:17" x14ac:dyDescent="0.25">
      <c r="B59" s="131">
        <f t="shared" si="3"/>
        <v>16</v>
      </c>
      <c r="C59" s="132">
        <f ca="1">IF(B59="","",'Fecha Pago'!K19)</f>
        <v>46176</v>
      </c>
      <c r="D59" s="133">
        <f>IF(B59="","",'Fecha Pago'!L19)</f>
        <v>30.4</v>
      </c>
      <c r="E59" s="134">
        <f t="shared" si="0"/>
        <v>9.3799999999999994E-2</v>
      </c>
      <c r="F59" s="135">
        <f t="shared" si="4"/>
        <v>565610.94267233484</v>
      </c>
      <c r="G59" s="135">
        <f>IF(B59="","",IF(F59=0,0,MIN(F59,IF(Catálogos!$N$6=1,Prepagos!C18,IF(Catálogos!$N$6=2,Prepagos!D18,IF(Catálogos!$N$6=3,Prepagos!E18,))))))</f>
        <v>2979.5551574344236</v>
      </c>
      <c r="H59" s="135">
        <f t="shared" si="5"/>
        <v>4480.1414312472671</v>
      </c>
      <c r="I59" s="135">
        <f t="shared" si="6"/>
        <v>716.82262899956277</v>
      </c>
      <c r="J59" s="135">
        <f>IF(B59="","",IF(F59=0,0,F59*Catálogos!$R$1))</f>
        <v>339.36656560340089</v>
      </c>
      <c r="K59" s="135">
        <f>IF(B59="","",IF(Catálogos!$K$10=1,Carátula!$F$17*Catálogos!$R$4,0))</f>
        <v>0</v>
      </c>
      <c r="L59" s="135">
        <f>IF(B59="","",IF(F59=0,0,CAT!H22))</f>
        <v>0</v>
      </c>
      <c r="M59" s="124"/>
      <c r="N59" s="135">
        <f>IF(B59="","",IF(M59&gt;0,M59-(M59/(1+Catálogos!$N$10)),0))</f>
        <v>0</v>
      </c>
      <c r="O59" s="135">
        <f t="shared" si="7"/>
        <v>8515.8857832846552</v>
      </c>
      <c r="P59" s="135">
        <f t="shared" si="1"/>
        <v>562631.38751490042</v>
      </c>
      <c r="Q59" s="136">
        <f t="shared" si="2"/>
        <v>1</v>
      </c>
    </row>
    <row r="60" spans="2:17" x14ac:dyDescent="0.25">
      <c r="B60" s="131">
        <f t="shared" si="3"/>
        <v>17</v>
      </c>
      <c r="C60" s="132">
        <f ca="1">IF(B60="","",'Fecha Pago'!K20)</f>
        <v>46206</v>
      </c>
      <c r="D60" s="133">
        <f>IF(B60="","",'Fecha Pago'!L20)</f>
        <v>30.4</v>
      </c>
      <c r="E60" s="134">
        <f t="shared" si="0"/>
        <v>9.3799999999999994E-2</v>
      </c>
      <c r="F60" s="135">
        <f t="shared" si="4"/>
        <v>562631.38751490042</v>
      </c>
      <c r="G60" s="135">
        <f>IF(B60="","",IF(F60=0,0,MIN(F60,IF(Catálogos!$N$6=1,Prepagos!C19,IF(Catálogos!$N$6=2,Prepagos!D19,IF(Catálogos!$N$6=3,Prepagos!E19,))))))</f>
        <v>3003.1558827747776</v>
      </c>
      <c r="H60" s="135">
        <f t="shared" si="5"/>
        <v>4456.540705906913</v>
      </c>
      <c r="I60" s="135">
        <f t="shared" si="6"/>
        <v>713.04651294510609</v>
      </c>
      <c r="J60" s="135">
        <f>IF(B60="","",IF(F60=0,0,F60*Catálogos!$R$1))</f>
        <v>337.5788325089402</v>
      </c>
      <c r="K60" s="135">
        <f>IF(B60="","",IF(Catálogos!$K$10=1,Carátula!$F$17*Catálogos!$R$4,0))</f>
        <v>0</v>
      </c>
      <c r="L60" s="135">
        <f>IF(B60="","",IF(F60=0,0,CAT!H23))</f>
        <v>0</v>
      </c>
      <c r="M60" s="124"/>
      <c r="N60" s="135">
        <f>IF(B60="","",IF(M60&gt;0,M60-(M60/(1+Catálogos!$N$10)),0))</f>
        <v>0</v>
      </c>
      <c r="O60" s="135">
        <f t="shared" si="7"/>
        <v>8510.3219341357362</v>
      </c>
      <c r="P60" s="135">
        <f t="shared" si="1"/>
        <v>559628.23163212568</v>
      </c>
      <c r="Q60" s="136">
        <f t="shared" si="2"/>
        <v>1</v>
      </c>
    </row>
    <row r="61" spans="2:17" x14ac:dyDescent="0.25">
      <c r="B61" s="131">
        <f t="shared" si="3"/>
        <v>18</v>
      </c>
      <c r="C61" s="132">
        <f ca="1">IF(B61="","",'Fecha Pago'!K21)</f>
        <v>46237</v>
      </c>
      <c r="D61" s="133">
        <f>IF(B61="","",'Fecha Pago'!L21)</f>
        <v>30.4</v>
      </c>
      <c r="E61" s="134">
        <f t="shared" si="0"/>
        <v>9.3799999999999994E-2</v>
      </c>
      <c r="F61" s="135">
        <f t="shared" si="4"/>
        <v>559628.23163212568</v>
      </c>
      <c r="G61" s="135">
        <f>IF(B61="","",IF(F61=0,0,MIN(F61,IF(Catálogos!$N$6=1,Prepagos!C20,IF(Catálogos!$N$6=2,Prepagos!D20,IF(Catálogos!$N$6=3,Prepagos!E20,))))))</f>
        <v>3026.9435468382489</v>
      </c>
      <c r="H61" s="135">
        <f t="shared" si="5"/>
        <v>4432.7530418434417</v>
      </c>
      <c r="I61" s="135">
        <f t="shared" si="6"/>
        <v>709.24048669495073</v>
      </c>
      <c r="J61" s="135">
        <f>IF(B61="","",IF(F61=0,0,F61*Catálogos!$R$1))</f>
        <v>335.77693897927537</v>
      </c>
      <c r="K61" s="135">
        <f>IF(B61="","",IF(Catálogos!$K$10=1,Carátula!$F$17*Catálogos!$R$4,0))</f>
        <v>0</v>
      </c>
      <c r="L61" s="135">
        <f>IF(B61="","",IF(F61=0,0,CAT!H24))</f>
        <v>0</v>
      </c>
      <c r="M61" s="124"/>
      <c r="N61" s="135">
        <f>IF(B61="","",IF(M61&gt;0,M61-(M61/(1+Catálogos!$N$10)),0))</f>
        <v>0</v>
      </c>
      <c r="O61" s="135">
        <f t="shared" si="7"/>
        <v>8504.7140143559172</v>
      </c>
      <c r="P61" s="135">
        <f t="shared" si="1"/>
        <v>556601.28808528744</v>
      </c>
      <c r="Q61" s="136">
        <f t="shared" si="2"/>
        <v>1</v>
      </c>
    </row>
    <row r="62" spans="2:17" x14ac:dyDescent="0.25">
      <c r="B62" s="131">
        <f t="shared" si="3"/>
        <v>19</v>
      </c>
      <c r="C62" s="132">
        <f ca="1">IF(B62="","",'Fecha Pago'!K22)</f>
        <v>46268</v>
      </c>
      <c r="D62" s="133">
        <f>IF(B62="","",'Fecha Pago'!L22)</f>
        <v>30.4</v>
      </c>
      <c r="E62" s="134">
        <f t="shared" si="0"/>
        <v>9.3799999999999994E-2</v>
      </c>
      <c r="F62" s="135">
        <f t="shared" si="4"/>
        <v>556601.28808528744</v>
      </c>
      <c r="G62" s="135">
        <f>IF(B62="","",IF(F62=0,0,MIN(F62,IF(Catálogos!$N$6=1,Prepagos!C21,IF(Catálogos!$N$6=2,Prepagos!D21,IF(Catálogos!$N$6=3,Prepagos!E21,))))))</f>
        <v>3050.9196303456938</v>
      </c>
      <c r="H62" s="135">
        <f t="shared" si="5"/>
        <v>4408.7769583359968</v>
      </c>
      <c r="I62" s="135">
        <f t="shared" si="6"/>
        <v>705.40431333375955</v>
      </c>
      <c r="J62" s="135">
        <f>IF(B62="","",IF(F62=0,0,F62*Catálogos!$R$1))</f>
        <v>333.96077285117241</v>
      </c>
      <c r="K62" s="135">
        <f>IF(B62="","",IF(Catálogos!$K$10=1,Carátula!$F$17*Catálogos!$R$4,0))</f>
        <v>0</v>
      </c>
      <c r="L62" s="135">
        <f>IF(B62="","",IF(F62=0,0,CAT!H25))</f>
        <v>0</v>
      </c>
      <c r="M62" s="124"/>
      <c r="N62" s="135">
        <f>IF(B62="","",IF(M62&gt;0,M62-(M62/(1+Catálogos!$N$10)),0))</f>
        <v>0</v>
      </c>
      <c r="O62" s="135">
        <f t="shared" si="7"/>
        <v>8499.0616748666234</v>
      </c>
      <c r="P62" s="135">
        <f t="shared" si="1"/>
        <v>553550.36845494178</v>
      </c>
      <c r="Q62" s="136">
        <f t="shared" si="2"/>
        <v>1</v>
      </c>
    </row>
    <row r="63" spans="2:17" x14ac:dyDescent="0.25">
      <c r="B63" s="131">
        <f t="shared" si="3"/>
        <v>20</v>
      </c>
      <c r="C63" s="132">
        <f ca="1">IF(B63="","",'Fecha Pago'!K23)</f>
        <v>46298</v>
      </c>
      <c r="D63" s="133">
        <f>IF(B63="","",'Fecha Pago'!L23)</f>
        <v>30.4</v>
      </c>
      <c r="E63" s="134">
        <f t="shared" si="0"/>
        <v>9.3799999999999994E-2</v>
      </c>
      <c r="F63" s="135">
        <f t="shared" si="4"/>
        <v>553550.36845494178</v>
      </c>
      <c r="G63" s="135">
        <f>IF(B63="","",IF(F63=0,0,MIN(F63,IF(Catálogos!$N$6=1,Prepagos!C22,IF(Catálogos!$N$6=2,Prepagos!D22,IF(Catálogos!$N$6=3,Prepagos!E22,))))))</f>
        <v>3075.0856257465921</v>
      </c>
      <c r="H63" s="135">
        <f t="shared" si="5"/>
        <v>4384.6109629350985</v>
      </c>
      <c r="I63" s="135">
        <f t="shared" si="6"/>
        <v>701.53775406961574</v>
      </c>
      <c r="J63" s="135">
        <f>IF(B63="","",IF(F63=0,0,F63*Catálogos!$R$1))</f>
        <v>332.13022107296501</v>
      </c>
      <c r="K63" s="135">
        <f>IF(B63="","",IF(Catálogos!$K$10=1,Carátula!$F$17*Catálogos!$R$4,0))</f>
        <v>0</v>
      </c>
      <c r="L63" s="135">
        <f>IF(B63="","",IF(F63=0,0,CAT!H26))</f>
        <v>0</v>
      </c>
      <c r="M63" s="124"/>
      <c r="N63" s="135">
        <f>IF(B63="","",IF(M63&gt;0,M63-(M63/(1+Catálogos!$N$10)),0))</f>
        <v>0</v>
      </c>
      <c r="O63" s="135">
        <f t="shared" si="7"/>
        <v>8493.3645638242706</v>
      </c>
      <c r="P63" s="135">
        <f t="shared" si="1"/>
        <v>550475.28282919514</v>
      </c>
      <c r="Q63" s="136">
        <f t="shared" si="2"/>
        <v>1</v>
      </c>
    </row>
    <row r="64" spans="2:17" x14ac:dyDescent="0.25">
      <c r="B64" s="131">
        <f t="shared" si="3"/>
        <v>21</v>
      </c>
      <c r="C64" s="132">
        <f ca="1">IF(B64="","",'Fecha Pago'!K24)</f>
        <v>46329</v>
      </c>
      <c r="D64" s="133">
        <f>IF(B64="","",'Fecha Pago'!L24)</f>
        <v>30.4</v>
      </c>
      <c r="E64" s="134">
        <f t="shared" si="0"/>
        <v>9.3799999999999994E-2</v>
      </c>
      <c r="F64" s="135">
        <f t="shared" si="4"/>
        <v>550475.28282919514</v>
      </c>
      <c r="G64" s="135">
        <f>IF(B64="","",IF(F64=0,0,MIN(F64,IF(Catálogos!$N$6=1,Prepagos!C23,IF(Catálogos!$N$6=2,Prepagos!D23,IF(Catálogos!$N$6=3,Prepagos!E23,))))))</f>
        <v>3099.4430373119503</v>
      </c>
      <c r="H64" s="135">
        <f t="shared" si="5"/>
        <v>4360.2535513697403</v>
      </c>
      <c r="I64" s="135">
        <f t="shared" si="6"/>
        <v>697.64056821915847</v>
      </c>
      <c r="J64" s="135">
        <f>IF(B64="","",IF(F64=0,0,F64*Catálogos!$R$1))</f>
        <v>330.28516969751706</v>
      </c>
      <c r="K64" s="135">
        <f>IF(B64="","",IF(Catálogos!$K$10=1,Carátula!$F$17*Catálogos!$R$4,0))</f>
        <v>0</v>
      </c>
      <c r="L64" s="135">
        <f>IF(B64="","",IF(F64=0,0,CAT!H27))</f>
        <v>0</v>
      </c>
      <c r="M64" s="124"/>
      <c r="N64" s="135">
        <f>IF(B64="","",IF(M64&gt;0,M64-(M64/(1+Catálogos!$N$10)),0))</f>
        <v>0</v>
      </c>
      <c r="O64" s="135">
        <f t="shared" si="7"/>
        <v>8487.6223265983663</v>
      </c>
      <c r="P64" s="135">
        <f t="shared" si="1"/>
        <v>547375.83979188325</v>
      </c>
      <c r="Q64" s="136">
        <f t="shared" si="2"/>
        <v>1</v>
      </c>
    </row>
    <row r="65" spans="2:17" x14ac:dyDescent="0.25">
      <c r="B65" s="131">
        <f t="shared" si="3"/>
        <v>22</v>
      </c>
      <c r="C65" s="132">
        <f ca="1">IF(B65="","",'Fecha Pago'!K25)</f>
        <v>46359</v>
      </c>
      <c r="D65" s="133">
        <f>IF(B65="","",'Fecha Pago'!L25)</f>
        <v>30.4</v>
      </c>
      <c r="E65" s="134">
        <f t="shared" si="0"/>
        <v>9.3799999999999994E-2</v>
      </c>
      <c r="F65" s="135">
        <f t="shared" si="4"/>
        <v>547375.83979188325</v>
      </c>
      <c r="G65" s="135">
        <f>IF(B65="","",IF(F65=0,0,MIN(F65,IF(Catálogos!$N$6=1,Prepagos!C24,IF(Catálogos!$N$6=2,Prepagos!D24,IF(Catálogos!$N$6=3,Prepagos!E24,))))))</f>
        <v>3123.9933812279378</v>
      </c>
      <c r="H65" s="135">
        <f t="shared" si="5"/>
        <v>4335.7032074537528</v>
      </c>
      <c r="I65" s="135">
        <f t="shared" si="6"/>
        <v>693.71251319260045</v>
      </c>
      <c r="J65" s="135">
        <f>IF(B65="","",IF(F65=0,0,F65*Catálogos!$R$1))</f>
        <v>328.42550387512995</v>
      </c>
      <c r="K65" s="135">
        <f>IF(B65="","",IF(Catálogos!$K$10=1,Carátula!$F$17*Catálogos!$R$4,0))</f>
        <v>0</v>
      </c>
      <c r="L65" s="135">
        <f>IF(B65="","",IF(F65=0,0,CAT!H28))</f>
        <v>0</v>
      </c>
      <c r="M65" s="124"/>
      <c r="N65" s="135">
        <f>IF(B65="","",IF(M65&gt;0,M65-(M65/(1+Catálogos!$N$10)),0))</f>
        <v>0</v>
      </c>
      <c r="O65" s="135">
        <f t="shared" si="7"/>
        <v>8481.8346057494218</v>
      </c>
      <c r="P65" s="135">
        <f t="shared" si="1"/>
        <v>544251.8464106553</v>
      </c>
      <c r="Q65" s="136">
        <f t="shared" si="2"/>
        <v>1</v>
      </c>
    </row>
    <row r="66" spans="2:17" x14ac:dyDescent="0.25">
      <c r="B66" s="131">
        <f t="shared" si="3"/>
        <v>23</v>
      </c>
      <c r="C66" s="132">
        <f ca="1">IF(B66="","",'Fecha Pago'!K26)</f>
        <v>46390</v>
      </c>
      <c r="D66" s="133">
        <f>IF(B66="","",'Fecha Pago'!L26)</f>
        <v>30.4</v>
      </c>
      <c r="E66" s="134">
        <f t="shared" si="0"/>
        <v>9.3799999999999994E-2</v>
      </c>
      <c r="F66" s="135">
        <f t="shared" si="4"/>
        <v>544251.8464106553</v>
      </c>
      <c r="G66" s="135">
        <f>IF(B66="","",IF(F66=0,0,MIN(F66,IF(Catálogos!$N$6=1,Prepagos!C25,IF(Catálogos!$N$6=2,Prepagos!D25,IF(Catálogos!$N$6=3,Prepagos!E25,))))))</f>
        <v>3148.7381856902693</v>
      </c>
      <c r="H66" s="135">
        <f t="shared" si="5"/>
        <v>4310.9584029914213</v>
      </c>
      <c r="I66" s="135">
        <f t="shared" si="6"/>
        <v>689.75334447862747</v>
      </c>
      <c r="J66" s="135">
        <f>IF(B66="","",IF(F66=0,0,F66*Catálogos!$R$1))</f>
        <v>326.55110784639317</v>
      </c>
      <c r="K66" s="135">
        <f>IF(B66="","",IF(Catálogos!$K$10=1,Carátula!$F$17*Catálogos!$R$4,0))</f>
        <v>0</v>
      </c>
      <c r="L66" s="135">
        <f>IF(B66="","",IF(F66=0,0,CAT!H29))</f>
        <v>0</v>
      </c>
      <c r="M66" s="124"/>
      <c r="N66" s="135">
        <f>IF(B66="","",IF(M66&gt;0,M66-(M66/(1+Catálogos!$N$10)),0))</f>
        <v>0</v>
      </c>
      <c r="O66" s="135">
        <f t="shared" si="7"/>
        <v>8476.0010410067116</v>
      </c>
      <c r="P66" s="135">
        <f t="shared" si="1"/>
        <v>541103.10822496505</v>
      </c>
      <c r="Q66" s="136">
        <f t="shared" si="2"/>
        <v>1</v>
      </c>
    </row>
    <row r="67" spans="2:17" x14ac:dyDescent="0.25">
      <c r="B67" s="131">
        <f t="shared" si="3"/>
        <v>24</v>
      </c>
      <c r="C67" s="132">
        <f ca="1">IF(B67="","",'Fecha Pago'!K27)</f>
        <v>46421</v>
      </c>
      <c r="D67" s="133">
        <f>IF(B67="","",'Fecha Pago'!L27)</f>
        <v>30.4</v>
      </c>
      <c r="E67" s="134">
        <f t="shared" si="0"/>
        <v>9.3799999999999994E-2</v>
      </c>
      <c r="F67" s="135">
        <f t="shared" si="4"/>
        <v>541103.10822496505</v>
      </c>
      <c r="G67" s="135">
        <f>IF(B67="","",IF(F67=0,0,MIN(F67,IF(Catálogos!$N$6=1,Prepagos!C26,IF(Catálogos!$N$6=2,Prepagos!D26,IF(Catálogos!$N$6=3,Prepagos!E26,))))))</f>
        <v>3173.6789909993231</v>
      </c>
      <c r="H67" s="135">
        <f t="shared" si="5"/>
        <v>4286.0175976823675</v>
      </c>
      <c r="I67" s="135">
        <f t="shared" si="6"/>
        <v>685.76281562917882</v>
      </c>
      <c r="J67" s="135">
        <f>IF(B67="","",IF(F67=0,0,F67*Catálogos!$R$1))</f>
        <v>324.66186493497901</v>
      </c>
      <c r="K67" s="135">
        <f>IF(B67="","",IF(Catálogos!$K$10=1,Carátula!$F$17*Catálogos!$R$4,0))</f>
        <v>0</v>
      </c>
      <c r="L67" s="135">
        <f>IF(B67="","",IF(F67=0,0,CAT!H30))</f>
        <v>0</v>
      </c>
      <c r="M67" s="124"/>
      <c r="N67" s="135">
        <f>IF(B67="","",IF(M67&gt;0,M67-(M67/(1+Catálogos!$N$10)),0))</f>
        <v>0</v>
      </c>
      <c r="O67" s="135">
        <f t="shared" si="7"/>
        <v>8470.1212692458485</v>
      </c>
      <c r="P67" s="135">
        <f t="shared" si="1"/>
        <v>537929.4292339657</v>
      </c>
      <c r="Q67" s="136">
        <f t="shared" si="2"/>
        <v>1</v>
      </c>
    </row>
    <row r="68" spans="2:17" x14ac:dyDescent="0.25">
      <c r="B68" s="131">
        <f t="shared" si="3"/>
        <v>25</v>
      </c>
      <c r="C68" s="132">
        <f ca="1">IF(B68="","",'Fecha Pago'!K28)</f>
        <v>46449</v>
      </c>
      <c r="D68" s="133">
        <f>IF(B68="","",'Fecha Pago'!L28)</f>
        <v>30.4</v>
      </c>
      <c r="E68" s="134">
        <f t="shared" si="0"/>
        <v>9.3799999999999994E-2</v>
      </c>
      <c r="F68" s="135">
        <f t="shared" si="4"/>
        <v>537929.4292339657</v>
      </c>
      <c r="G68" s="135">
        <f>IF(B68="","",IF(F68=0,0,MIN(F68,IF(Catálogos!$N$6=1,Prepagos!C27,IF(Catálogos!$N$6=2,Prepagos!D27,IF(Catálogos!$N$6=3,Prepagos!E27,))))))</f>
        <v>3198.8173496560303</v>
      </c>
      <c r="H68" s="135">
        <f t="shared" si="5"/>
        <v>4260.8792390256604</v>
      </c>
      <c r="I68" s="135">
        <f t="shared" si="6"/>
        <v>681.74067824410565</v>
      </c>
      <c r="J68" s="135">
        <f>IF(B68="","",IF(F68=0,0,F68*Catálogos!$R$1))</f>
        <v>322.7576575403794</v>
      </c>
      <c r="K68" s="135">
        <f>IF(B68="","",IF(Catálogos!$K$10=1,Carátula!$F$17*Catálogos!$R$4,0))</f>
        <v>0</v>
      </c>
      <c r="L68" s="135">
        <f>IF(B68="","",IF(F68=0,0,CAT!H31))</f>
        <v>0</v>
      </c>
      <c r="M68" s="124"/>
      <c r="N68" s="135">
        <f>IF(B68="","",IF(M68&gt;0,M68-(M68/(1+Catálogos!$N$10)),0))</f>
        <v>0</v>
      </c>
      <c r="O68" s="135">
        <f t="shared" si="7"/>
        <v>8464.1949244661755</v>
      </c>
      <c r="P68" s="135">
        <f t="shared" si="1"/>
        <v>534730.61188430968</v>
      </c>
      <c r="Q68" s="136">
        <f t="shared" si="2"/>
        <v>1</v>
      </c>
    </row>
    <row r="69" spans="2:17" x14ac:dyDescent="0.25">
      <c r="B69" s="131">
        <f t="shared" si="3"/>
        <v>26</v>
      </c>
      <c r="C69" s="132">
        <f ca="1">IF(B69="","",'Fecha Pago'!K29)</f>
        <v>46480</v>
      </c>
      <c r="D69" s="133">
        <f>IF(B69="","",'Fecha Pago'!L29)</f>
        <v>30.4</v>
      </c>
      <c r="E69" s="134">
        <f t="shared" si="0"/>
        <v>9.3799999999999994E-2</v>
      </c>
      <c r="F69" s="135">
        <f t="shared" si="4"/>
        <v>534730.61188430968</v>
      </c>
      <c r="G69" s="135">
        <f>IF(B69="","",IF(F69=0,0,MIN(F69,IF(Catálogos!$N$6=1,Prepagos!C28,IF(Catálogos!$N$6=2,Prepagos!D28,IF(Catálogos!$N$6=3,Prepagos!E28,))))))</f>
        <v>3224.1548264585053</v>
      </c>
      <c r="H69" s="135">
        <f t="shared" si="5"/>
        <v>4235.5417622231853</v>
      </c>
      <c r="I69" s="135">
        <f t="shared" si="6"/>
        <v>677.68668195570967</v>
      </c>
      <c r="J69" s="135">
        <f>IF(B69="","",IF(F69=0,0,F69*Catálogos!$R$1))</f>
        <v>320.83836713058577</v>
      </c>
      <c r="K69" s="135">
        <f>IF(B69="","",IF(Catálogos!$K$10=1,Carátula!$F$17*Catálogos!$R$4,0))</f>
        <v>0</v>
      </c>
      <c r="L69" s="135">
        <f>IF(B69="","",IF(F69=0,0,CAT!H32))</f>
        <v>0</v>
      </c>
      <c r="M69" s="124"/>
      <c r="N69" s="135">
        <f>IF(B69="","",IF(M69&gt;0,M69-(M69/(1+Catálogos!$N$10)),0))</f>
        <v>0</v>
      </c>
      <c r="O69" s="135">
        <f t="shared" si="7"/>
        <v>8458.221637767987</v>
      </c>
      <c r="P69" s="135">
        <f t="shared" si="1"/>
        <v>531506.45705785113</v>
      </c>
      <c r="Q69" s="136">
        <f t="shared" si="2"/>
        <v>1</v>
      </c>
    </row>
    <row r="70" spans="2:17" x14ac:dyDescent="0.25">
      <c r="B70" s="131">
        <f t="shared" si="3"/>
        <v>27</v>
      </c>
      <c r="C70" s="132">
        <f ca="1">IF(B70="","",'Fecha Pago'!K30)</f>
        <v>46510</v>
      </c>
      <c r="D70" s="133">
        <f>IF(B70="","",'Fecha Pago'!L30)</f>
        <v>30.4</v>
      </c>
      <c r="E70" s="134">
        <f t="shared" si="0"/>
        <v>9.3799999999999994E-2</v>
      </c>
      <c r="F70" s="135">
        <f t="shared" si="4"/>
        <v>531506.45705785113</v>
      </c>
      <c r="G70" s="135">
        <f>IF(B70="","",IF(F70=0,0,MIN(F70,IF(Catálogos!$N$6=1,Prepagos!C29,IF(Catálogos!$N$6=2,Prepagos!D29,IF(Catálogos!$N$6=3,Prepagos!E29,))))))</f>
        <v>3249.6929985994584</v>
      </c>
      <c r="H70" s="135">
        <f t="shared" si="5"/>
        <v>4210.0035900822322</v>
      </c>
      <c r="I70" s="135">
        <f t="shared" si="6"/>
        <v>673.60057441315712</v>
      </c>
      <c r="J70" s="135">
        <f>IF(B70="","",IF(F70=0,0,F70*Catálogos!$R$1))</f>
        <v>318.90387423471066</v>
      </c>
      <c r="K70" s="135">
        <f>IF(B70="","",IF(Catálogos!$K$10=1,Carátula!$F$17*Catálogos!$R$4,0))</f>
        <v>0</v>
      </c>
      <c r="L70" s="135">
        <f>IF(B70="","",IF(F70=0,0,CAT!H33))</f>
        <v>0</v>
      </c>
      <c r="M70" s="124"/>
      <c r="N70" s="135">
        <f>IF(B70="","",IF(M70&gt;0,M70-(M70/(1+Catálogos!$N$10)),0))</f>
        <v>0</v>
      </c>
      <c r="O70" s="135">
        <f t="shared" si="7"/>
        <v>8452.2010373295579</v>
      </c>
      <c r="P70" s="135">
        <f t="shared" si="1"/>
        <v>528256.76405925164</v>
      </c>
      <c r="Q70" s="136">
        <f t="shared" si="2"/>
        <v>1</v>
      </c>
    </row>
    <row r="71" spans="2:17" x14ac:dyDescent="0.25">
      <c r="B71" s="131">
        <f t="shared" si="3"/>
        <v>28</v>
      </c>
      <c r="C71" s="132">
        <f ca="1">IF(B71="","",'Fecha Pago'!K31)</f>
        <v>46541</v>
      </c>
      <c r="D71" s="133">
        <f>IF(B71="","",'Fecha Pago'!L31)</f>
        <v>30.4</v>
      </c>
      <c r="E71" s="134">
        <f t="shared" si="0"/>
        <v>9.3799999999999994E-2</v>
      </c>
      <c r="F71" s="135">
        <f t="shared" si="4"/>
        <v>528256.76405925164</v>
      </c>
      <c r="G71" s="135">
        <f>IF(B71="","",IF(F71=0,0,MIN(F71,IF(Catálogos!$N$6=1,Prepagos!C30,IF(Catálogos!$N$6=2,Prepagos!D30,IF(Catálogos!$N$6=3,Prepagos!E30,))))))</f>
        <v>3275.4334557643651</v>
      </c>
      <c r="H71" s="135">
        <f t="shared" si="5"/>
        <v>4184.2631329173255</v>
      </c>
      <c r="I71" s="135">
        <f t="shared" si="6"/>
        <v>669.48210126677213</v>
      </c>
      <c r="J71" s="135">
        <f>IF(B71="","",IF(F71=0,0,F71*Catálogos!$R$1))</f>
        <v>316.95405843555096</v>
      </c>
      <c r="K71" s="135">
        <f>IF(B71="","",IF(Catálogos!$K$10=1,Carátula!$F$17*Catálogos!$R$4,0))</f>
        <v>0</v>
      </c>
      <c r="L71" s="135">
        <f>IF(B71="","",IF(F71=0,0,CAT!H34))</f>
        <v>0</v>
      </c>
      <c r="M71" s="124"/>
      <c r="N71" s="135">
        <f>IF(B71="","",IF(M71&gt;0,M71-(M71/(1+Catálogos!$N$10)),0))</f>
        <v>0</v>
      </c>
      <c r="O71" s="135">
        <f t="shared" si="7"/>
        <v>8446.1327483840141</v>
      </c>
      <c r="P71" s="135">
        <f t="shared" si="1"/>
        <v>524981.33060348732</v>
      </c>
      <c r="Q71" s="136">
        <f t="shared" si="2"/>
        <v>1</v>
      </c>
    </row>
    <row r="72" spans="2:17" x14ac:dyDescent="0.25">
      <c r="B72" s="131">
        <f t="shared" si="3"/>
        <v>29</v>
      </c>
      <c r="C72" s="132">
        <f ca="1">IF(B72="","",'Fecha Pago'!K32)</f>
        <v>46571</v>
      </c>
      <c r="D72" s="133">
        <f>IF(B72="","",'Fecha Pago'!L32)</f>
        <v>30.4</v>
      </c>
      <c r="E72" s="134">
        <f t="shared" si="0"/>
        <v>9.3799999999999994E-2</v>
      </c>
      <c r="F72" s="135">
        <f t="shared" si="4"/>
        <v>524981.33060348732</v>
      </c>
      <c r="G72" s="135">
        <f>IF(B72="","",IF(F72=0,0,MIN(F72,IF(Catálogos!$N$6=1,Prepagos!C31,IF(Catálogos!$N$6=2,Prepagos!D31,IF(Catálogos!$N$6=3,Prepagos!E31,))))))</f>
        <v>3301.3778002304234</v>
      </c>
      <c r="H72" s="135">
        <f t="shared" si="5"/>
        <v>4158.3187884512672</v>
      </c>
      <c r="I72" s="135">
        <f t="shared" si="6"/>
        <v>665.3310061522028</v>
      </c>
      <c r="J72" s="135">
        <f>IF(B72="","",IF(F72=0,0,F72*Catálogos!$R$1))</f>
        <v>314.98879836209238</v>
      </c>
      <c r="K72" s="135">
        <f>IF(B72="","",IF(Catálogos!$K$10=1,Carátula!$F$17*Catálogos!$R$4,0))</f>
        <v>0</v>
      </c>
      <c r="L72" s="135">
        <f>IF(B72="","",IF(F72=0,0,CAT!H35))</f>
        <v>0</v>
      </c>
      <c r="M72" s="124"/>
      <c r="N72" s="135">
        <f>IF(B72="","",IF(M72&gt;0,M72-(M72/(1+Catálogos!$N$10)),0))</f>
        <v>0</v>
      </c>
      <c r="O72" s="135">
        <f t="shared" si="7"/>
        <v>8440.0163931959851</v>
      </c>
      <c r="P72" s="135">
        <f t="shared" si="1"/>
        <v>521679.95280325692</v>
      </c>
      <c r="Q72" s="136">
        <f t="shared" si="2"/>
        <v>1</v>
      </c>
    </row>
    <row r="73" spans="2:17" x14ac:dyDescent="0.25">
      <c r="B73" s="131">
        <f t="shared" si="3"/>
        <v>30</v>
      </c>
      <c r="C73" s="132">
        <f ca="1">IF(B73="","",'Fecha Pago'!K33)</f>
        <v>46602</v>
      </c>
      <c r="D73" s="133">
        <f>IF(B73="","",'Fecha Pago'!L33)</f>
        <v>30.4</v>
      </c>
      <c r="E73" s="134">
        <f t="shared" si="0"/>
        <v>9.3799999999999994E-2</v>
      </c>
      <c r="F73" s="135">
        <f t="shared" si="4"/>
        <v>521679.95280325692</v>
      </c>
      <c r="G73" s="135">
        <f>IF(B73="","",IF(F73=0,0,MIN(F73,IF(Catálogos!$N$6=1,Prepagos!C32,IF(Catálogos!$N$6=2,Prepagos!D32,IF(Catálogos!$N$6=3,Prepagos!E32,))))))</f>
        <v>3327.5276469662931</v>
      </c>
      <c r="H73" s="135">
        <f t="shared" si="5"/>
        <v>4132.1689417153975</v>
      </c>
      <c r="I73" s="135">
        <f t="shared" si="6"/>
        <v>661.14703067446362</v>
      </c>
      <c r="J73" s="135">
        <f>IF(B73="","",IF(F73=0,0,F73*Catálogos!$R$1))</f>
        <v>313.00797168195413</v>
      </c>
      <c r="K73" s="135">
        <f>IF(B73="","",IF(Catálogos!$K$10=1,Carátula!$F$17*Catálogos!$R$4,0))</f>
        <v>0</v>
      </c>
      <c r="L73" s="135">
        <f>IF(B73="","",IF(F73=0,0,CAT!H36))</f>
        <v>0</v>
      </c>
      <c r="M73" s="124"/>
      <c r="N73" s="135">
        <f>IF(B73="","",IF(M73&gt;0,M73-(M73/(1+Catálogos!$N$10)),0))</f>
        <v>0</v>
      </c>
      <c r="O73" s="135">
        <f t="shared" si="7"/>
        <v>8433.8515910381084</v>
      </c>
      <c r="P73" s="135">
        <f t="shared" si="1"/>
        <v>518352.42515629064</v>
      </c>
      <c r="Q73" s="136">
        <f t="shared" si="2"/>
        <v>1</v>
      </c>
    </row>
    <row r="74" spans="2:17" x14ac:dyDescent="0.25">
      <c r="B74" s="131">
        <f t="shared" si="3"/>
        <v>31</v>
      </c>
      <c r="C74" s="132">
        <f ca="1">IF(B74="","",'Fecha Pago'!K34)</f>
        <v>46633</v>
      </c>
      <c r="D74" s="133">
        <f>IF(B74="","",'Fecha Pago'!L34)</f>
        <v>30.4</v>
      </c>
      <c r="E74" s="134">
        <f t="shared" si="0"/>
        <v>9.3799999999999994E-2</v>
      </c>
      <c r="F74" s="135">
        <f t="shared" si="4"/>
        <v>518352.42515629064</v>
      </c>
      <c r="G74" s="135">
        <f>IF(B74="","",IF(F74=0,0,MIN(F74,IF(Catálogos!$N$6=1,Prepagos!C33,IF(Catálogos!$N$6=2,Prepagos!D33,IF(Catálogos!$N$6=3,Prepagos!E33,))))))</f>
        <v>3353.8846237326188</v>
      </c>
      <c r="H74" s="135">
        <f t="shared" si="5"/>
        <v>4105.8119649490718</v>
      </c>
      <c r="I74" s="135">
        <f t="shared" si="6"/>
        <v>656.92991439185153</v>
      </c>
      <c r="J74" s="135">
        <f>IF(B74="","",IF(F74=0,0,F74*Catálogos!$R$1))</f>
        <v>311.01145509377437</v>
      </c>
      <c r="K74" s="135">
        <f>IF(B74="","",IF(Catálogos!$K$10=1,Carátula!$F$17*Catálogos!$R$4,0))</f>
        <v>0</v>
      </c>
      <c r="L74" s="135">
        <f>IF(B74="","",IF(F74=0,0,CAT!H37))</f>
        <v>0</v>
      </c>
      <c r="M74" s="124"/>
      <c r="N74" s="135">
        <f>IF(B74="","",IF(M74&gt;0,M74-(M74/(1+Catálogos!$N$10)),0))</f>
        <v>0</v>
      </c>
      <c r="O74" s="135">
        <f t="shared" si="7"/>
        <v>8427.6379581673173</v>
      </c>
      <c r="P74" s="135">
        <f t="shared" si="1"/>
        <v>514998.54053255805</v>
      </c>
      <c r="Q74" s="136">
        <f t="shared" si="2"/>
        <v>1</v>
      </c>
    </row>
    <row r="75" spans="2:17" x14ac:dyDescent="0.25">
      <c r="B75" s="131">
        <f t="shared" si="3"/>
        <v>32</v>
      </c>
      <c r="C75" s="132">
        <f ca="1">IF(B75="","",'Fecha Pago'!K35)</f>
        <v>46663</v>
      </c>
      <c r="D75" s="133">
        <f>IF(B75="","",'Fecha Pago'!L35)</f>
        <v>30.4</v>
      </c>
      <c r="E75" s="134">
        <f t="shared" si="0"/>
        <v>9.3799999999999994E-2</v>
      </c>
      <c r="F75" s="135">
        <f t="shared" si="4"/>
        <v>514998.54053255805</v>
      </c>
      <c r="G75" s="135">
        <f>IF(B75="","",IF(F75=0,0,MIN(F75,IF(Catálogos!$N$6=1,Prepagos!C34,IF(Catálogos!$N$6=2,Prepagos!D34,IF(Catálogos!$N$6=3,Prepagos!E34,))))))</f>
        <v>3380.4503711833577</v>
      </c>
      <c r="H75" s="135">
        <f t="shared" si="5"/>
        <v>4079.246217498333</v>
      </c>
      <c r="I75" s="135">
        <f t="shared" si="6"/>
        <v>652.67939479973325</v>
      </c>
      <c r="J75" s="135">
        <f>IF(B75="","",IF(F75=0,0,F75*Catálogos!$R$1))</f>
        <v>308.99912431953481</v>
      </c>
      <c r="K75" s="135">
        <f>IF(B75="","",IF(Catálogos!$K$10=1,Carátula!$F$17*Catálogos!$R$4,0))</f>
        <v>0</v>
      </c>
      <c r="L75" s="135">
        <f>IF(B75="","",IF(F75=0,0,CAT!H38))</f>
        <v>0</v>
      </c>
      <c r="M75" s="124"/>
      <c r="N75" s="135">
        <f>IF(B75="","",IF(M75&gt;0,M75-(M75/(1+Catálogos!$N$10)),0))</f>
        <v>0</v>
      </c>
      <c r="O75" s="135">
        <f t="shared" si="7"/>
        <v>8421.3751078009591</v>
      </c>
      <c r="P75" s="135">
        <f t="shared" si="1"/>
        <v>511618.09016137471</v>
      </c>
      <c r="Q75" s="136">
        <f t="shared" si="2"/>
        <v>1</v>
      </c>
    </row>
    <row r="76" spans="2:17" x14ac:dyDescent="0.25">
      <c r="B76" s="131">
        <f t="shared" si="3"/>
        <v>33</v>
      </c>
      <c r="C76" s="132">
        <f ca="1">IF(B76="","",'Fecha Pago'!K36)</f>
        <v>46694</v>
      </c>
      <c r="D76" s="133">
        <f>IF(B76="","",'Fecha Pago'!L36)</f>
        <v>30.4</v>
      </c>
      <c r="E76" s="134">
        <f t="shared" si="0"/>
        <v>9.3799999999999994E-2</v>
      </c>
      <c r="F76" s="135">
        <f t="shared" si="4"/>
        <v>511618.09016137471</v>
      </c>
      <c r="G76" s="135">
        <f>IF(B76="","",IF(F76=0,0,MIN(F76,IF(Catálogos!$N$6=1,Prepagos!C35,IF(Catálogos!$N$6=2,Prepagos!D35,IF(Catálogos!$N$6=3,Prepagos!E35,))))))</f>
        <v>3407.2265429679042</v>
      </c>
      <c r="H76" s="135">
        <f t="shared" si="5"/>
        <v>4052.4700457137865</v>
      </c>
      <c r="I76" s="135">
        <f t="shared" si="6"/>
        <v>648.39520731420589</v>
      </c>
      <c r="J76" s="135">
        <f>IF(B76="","",IF(F76=0,0,F76*Catálogos!$R$1))</f>
        <v>306.97085409682478</v>
      </c>
      <c r="K76" s="135">
        <f>IF(B76="","",IF(Catálogos!$K$10=1,Carátula!$F$17*Catálogos!$R$4,0))</f>
        <v>0</v>
      </c>
      <c r="L76" s="135">
        <f>IF(B76="","",IF(F76=0,0,CAT!H39))</f>
        <v>0</v>
      </c>
      <c r="M76" s="124"/>
      <c r="N76" s="135">
        <f>IF(B76="","",IF(M76&gt;0,M76-(M76/(1+Catálogos!$N$10)),0))</f>
        <v>0</v>
      </c>
      <c r="O76" s="135">
        <f t="shared" si="7"/>
        <v>8415.062650092721</v>
      </c>
      <c r="P76" s="135">
        <f t="shared" si="1"/>
        <v>508210.86361840682</v>
      </c>
      <c r="Q76" s="136">
        <f t="shared" si="2"/>
        <v>1</v>
      </c>
    </row>
    <row r="77" spans="2:17" x14ac:dyDescent="0.25">
      <c r="B77" s="131">
        <f t="shared" si="3"/>
        <v>34</v>
      </c>
      <c r="C77" s="132">
        <f ca="1">IF(B77="","",'Fecha Pago'!K37)</f>
        <v>46724</v>
      </c>
      <c r="D77" s="133">
        <f>IF(B77="","",'Fecha Pago'!L37)</f>
        <v>30.4</v>
      </c>
      <c r="E77" s="134">
        <f t="shared" si="0"/>
        <v>9.3799999999999994E-2</v>
      </c>
      <c r="F77" s="135">
        <f t="shared" si="4"/>
        <v>508210.86361840682</v>
      </c>
      <c r="G77" s="135">
        <f>IF(B77="","",IF(F77=0,0,MIN(F77,IF(Catálogos!$N$6=1,Prepagos!C36,IF(Catálogos!$N$6=2,Prepagos!D36,IF(Catálogos!$N$6=3,Prepagos!E36,))))))</f>
        <v>3434.2148058340258</v>
      </c>
      <c r="H77" s="135">
        <f t="shared" si="5"/>
        <v>4025.4817828476648</v>
      </c>
      <c r="I77" s="135">
        <f t="shared" si="6"/>
        <v>644.07708525562634</v>
      </c>
      <c r="J77" s="135">
        <f>IF(B77="","",IF(F77=0,0,F77*Catálogos!$R$1))</f>
        <v>304.92651817104405</v>
      </c>
      <c r="K77" s="135">
        <f>IF(B77="","",IF(Catálogos!$K$10=1,Carátula!$F$17*Catálogos!$R$4,0))</f>
        <v>0</v>
      </c>
      <c r="L77" s="135">
        <f>IF(B77="","",IF(F77=0,0,CAT!H40))</f>
        <v>0</v>
      </c>
      <c r="M77" s="124"/>
      <c r="N77" s="135">
        <f>IF(B77="","",IF(M77&gt;0,M77-(M77/(1+Catálogos!$N$10)),0))</f>
        <v>0</v>
      </c>
      <c r="O77" s="135">
        <f t="shared" si="7"/>
        <v>8408.7001921083611</v>
      </c>
      <c r="P77" s="135">
        <f t="shared" si="1"/>
        <v>504776.64881257276</v>
      </c>
      <c r="Q77" s="136">
        <f t="shared" si="2"/>
        <v>1</v>
      </c>
    </row>
    <row r="78" spans="2:17" x14ac:dyDescent="0.25">
      <c r="B78" s="131">
        <f t="shared" si="3"/>
        <v>35</v>
      </c>
      <c r="C78" s="132">
        <f ca="1">IF(B78="","",'Fecha Pago'!K38)</f>
        <v>46755</v>
      </c>
      <c r="D78" s="133">
        <f>IF(B78="","",'Fecha Pago'!L38)</f>
        <v>30.4</v>
      </c>
      <c r="E78" s="134">
        <f t="shared" si="0"/>
        <v>9.3799999999999994E-2</v>
      </c>
      <c r="F78" s="135">
        <f t="shared" si="4"/>
        <v>504776.64881257276</v>
      </c>
      <c r="G78" s="135">
        <f>IF(B78="","",IF(F78=0,0,MIN(F78,IF(Catálogos!$N$6=1,Prepagos!C37,IF(Catálogos!$N$6=2,Prepagos!D37,IF(Catálogos!$N$6=3,Prepagos!E37,))))))</f>
        <v>3461.4168397316143</v>
      </c>
      <c r="H78" s="135">
        <f t="shared" si="5"/>
        <v>3998.2797489500763</v>
      </c>
      <c r="I78" s="135">
        <f t="shared" si="6"/>
        <v>639.72475983201218</v>
      </c>
      <c r="J78" s="135">
        <f>IF(B78="","",IF(F78=0,0,F78*Catálogos!$R$1))</f>
        <v>302.86598928754364</v>
      </c>
      <c r="K78" s="135">
        <f>IF(B78="","",IF(Catálogos!$K$10=1,Carátula!$F$17*Catálogos!$R$4,0))</f>
        <v>0</v>
      </c>
      <c r="L78" s="135">
        <f>IF(B78="","",IF(F78=0,0,CAT!H41))</f>
        <v>0</v>
      </c>
      <c r="M78" s="124"/>
      <c r="N78" s="135">
        <f>IF(B78="","",IF(M78&gt;0,M78-(M78/(1+Catálogos!$N$10)),0))</f>
        <v>0</v>
      </c>
      <c r="O78" s="135">
        <f t="shared" si="7"/>
        <v>8402.2873378012464</v>
      </c>
      <c r="P78" s="135">
        <f t="shared" si="1"/>
        <v>501315.23197284114</v>
      </c>
      <c r="Q78" s="136">
        <f t="shared" si="2"/>
        <v>1</v>
      </c>
    </row>
    <row r="79" spans="2:17" x14ac:dyDescent="0.25">
      <c r="B79" s="131">
        <f t="shared" si="3"/>
        <v>36</v>
      </c>
      <c r="C79" s="132">
        <f ca="1">IF(B79="","",'Fecha Pago'!K39)</f>
        <v>46786</v>
      </c>
      <c r="D79" s="133">
        <f>IF(B79="","",'Fecha Pago'!L39)</f>
        <v>30.4</v>
      </c>
      <c r="E79" s="134">
        <f t="shared" si="0"/>
        <v>9.3799999999999994E-2</v>
      </c>
      <c r="F79" s="135">
        <f t="shared" si="4"/>
        <v>501315.23197284114</v>
      </c>
      <c r="G79" s="135">
        <f>IF(B79="","",IF(F79=0,0,MIN(F79,IF(Catálogos!$N$6=1,Prepagos!C38,IF(Catálogos!$N$6=2,Prepagos!D38,IF(Catálogos!$N$6=3,Prepagos!E38,))))))</f>
        <v>3488.8343379172575</v>
      </c>
      <c r="H79" s="135">
        <f t="shared" si="5"/>
        <v>3970.8622507644332</v>
      </c>
      <c r="I79" s="135">
        <f t="shared" si="6"/>
        <v>635.33796012230937</v>
      </c>
      <c r="J79" s="135">
        <f>IF(B79="","",IF(F79=0,0,F79*Catálogos!$R$1))</f>
        <v>300.78913918370466</v>
      </c>
      <c r="K79" s="135">
        <f>IF(B79="","",IF(Catálogos!$K$10=1,Carátula!$F$17*Catálogos!$R$4,0))</f>
        <v>0</v>
      </c>
      <c r="L79" s="135">
        <f>IF(B79="","",IF(F79=0,0,CAT!H42))</f>
        <v>0</v>
      </c>
      <c r="M79" s="124"/>
      <c r="N79" s="135">
        <f>IF(B79="","",IF(M79&gt;0,M79-(M79/(1+Catálogos!$N$10)),0))</f>
        <v>0</v>
      </c>
      <c r="O79" s="135">
        <f t="shared" si="7"/>
        <v>8395.823687987704</v>
      </c>
      <c r="P79" s="135">
        <f t="shared" si="1"/>
        <v>497826.39763492387</v>
      </c>
      <c r="Q79" s="136">
        <f t="shared" si="2"/>
        <v>1</v>
      </c>
    </row>
    <row r="80" spans="2:17" x14ac:dyDescent="0.25">
      <c r="B80" s="131">
        <f t="shared" si="3"/>
        <v>37</v>
      </c>
      <c r="C80" s="132">
        <f ca="1">IF(B80="","",'Fecha Pago'!K40)</f>
        <v>46815</v>
      </c>
      <c r="D80" s="133">
        <f>IF(B80="","",'Fecha Pago'!L40)</f>
        <v>30.4</v>
      </c>
      <c r="E80" s="134">
        <f t="shared" si="0"/>
        <v>9.3799999999999994E-2</v>
      </c>
      <c r="F80" s="135">
        <f t="shared" si="4"/>
        <v>497826.39763492387</v>
      </c>
      <c r="G80" s="135">
        <f>IF(B80="","",IF(F80=0,0,MIN(F80,IF(Catálogos!$N$6=1,Prepagos!C39,IF(Catálogos!$N$6=2,Prepagos!D39,IF(Catálogos!$N$6=3,Prepagos!E39,))))))</f>
        <v>3516.4690070596403</v>
      </c>
      <c r="H80" s="135">
        <f t="shared" si="5"/>
        <v>3943.2275816220504</v>
      </c>
      <c r="I80" s="135">
        <f t="shared" si="6"/>
        <v>630.91641305952805</v>
      </c>
      <c r="J80" s="135">
        <f>IF(B80="","",IF(F80=0,0,F80*Catálogos!$R$1))</f>
        <v>298.69583858095427</v>
      </c>
      <c r="K80" s="135">
        <f>IF(B80="","",IF(Catálogos!$K$10=1,Carátula!$F$17*Catálogos!$R$4,0))</f>
        <v>0</v>
      </c>
      <c r="L80" s="135">
        <f>IF(B80="","",IF(F80=0,0,CAT!H43))</f>
        <v>0</v>
      </c>
      <c r="M80" s="124"/>
      <c r="N80" s="135">
        <f t="shared" ref="N80:N143" si="8">IF(B80="","",0)</f>
        <v>0</v>
      </c>
      <c r="O80" s="135">
        <f t="shared" si="7"/>
        <v>8389.3088403221736</v>
      </c>
      <c r="P80" s="135">
        <f t="shared" si="1"/>
        <v>494309.92862786422</v>
      </c>
      <c r="Q80" s="136">
        <f t="shared" si="2"/>
        <v>1</v>
      </c>
    </row>
    <row r="81" spans="2:17" x14ac:dyDescent="0.25">
      <c r="B81" s="131">
        <f t="shared" si="3"/>
        <v>38</v>
      </c>
      <c r="C81" s="132">
        <f ca="1">IF(B81="","",'Fecha Pago'!K41)</f>
        <v>46846</v>
      </c>
      <c r="D81" s="133">
        <f>IF(B81="","",'Fecha Pago'!L41)</f>
        <v>30.4</v>
      </c>
      <c r="E81" s="134">
        <f t="shared" si="0"/>
        <v>9.3799999999999994E-2</v>
      </c>
      <c r="F81" s="135">
        <f t="shared" si="4"/>
        <v>494309.92862786422</v>
      </c>
      <c r="G81" s="135">
        <f>IF(B81="","",IF(F81=0,0,MIN(F81,IF(Catálogos!$N$6=1,Prepagos!C40,IF(Catálogos!$N$6=2,Prepagos!D40,IF(Catálogos!$N$6=3,Prepagos!E40,))))))</f>
        <v>3544.3225673457814</v>
      </c>
      <c r="H81" s="135">
        <f t="shared" si="5"/>
        <v>3915.3740213359092</v>
      </c>
      <c r="I81" s="135">
        <f t="shared" si="6"/>
        <v>626.45984341374549</v>
      </c>
      <c r="J81" s="135">
        <f>IF(B81="","",IF(F81=0,0,F81*Catálogos!$R$1))</f>
        <v>296.58595717671852</v>
      </c>
      <c r="K81" s="135">
        <f>IF(B81="","",IF(Catálogos!$K$10=1,Carátula!$F$17*Catálogos!$R$4,0))</f>
        <v>0</v>
      </c>
      <c r="L81" s="135">
        <f>IF(B81="","",IF(F81=0,0,CAT!H44))</f>
        <v>0</v>
      </c>
      <c r="M81" s="124"/>
      <c r="N81" s="135">
        <f t="shared" si="8"/>
        <v>0</v>
      </c>
      <c r="O81" s="135">
        <f t="shared" si="7"/>
        <v>8382.7423892721545</v>
      </c>
      <c r="P81" s="135">
        <f t="shared" si="1"/>
        <v>490765.60606051842</v>
      </c>
      <c r="Q81" s="136">
        <f t="shared" si="2"/>
        <v>1</v>
      </c>
    </row>
    <row r="82" spans="2:17" x14ac:dyDescent="0.25">
      <c r="B82" s="131">
        <f t="shared" si="3"/>
        <v>39</v>
      </c>
      <c r="C82" s="132">
        <f ca="1">IF(B82="","",'Fecha Pago'!K42)</f>
        <v>46876</v>
      </c>
      <c r="D82" s="133">
        <f>IF(B82="","",'Fecha Pago'!L42)</f>
        <v>30.4</v>
      </c>
      <c r="E82" s="134">
        <f t="shared" si="0"/>
        <v>9.3799999999999994E-2</v>
      </c>
      <c r="F82" s="135">
        <f t="shared" si="4"/>
        <v>490765.60606051842</v>
      </c>
      <c r="G82" s="135">
        <f>IF(B82="","",IF(F82=0,0,MIN(F82,IF(Catálogos!$N$6=1,Prepagos!C41,IF(Catálogos!$N$6=2,Prepagos!D41,IF(Catálogos!$N$6=3,Prepagos!E41,))))))</f>
        <v>3572.3967525881089</v>
      </c>
      <c r="H82" s="135">
        <f t="shared" si="5"/>
        <v>3887.2998360935817</v>
      </c>
      <c r="I82" s="135">
        <f t="shared" si="6"/>
        <v>621.96797377497307</v>
      </c>
      <c r="J82" s="135">
        <f>IF(B82="","",IF(F82=0,0,F82*Catálogos!$R$1))</f>
        <v>294.45936363631102</v>
      </c>
      <c r="K82" s="135">
        <f>IF(B82="","",IF(Catálogos!$K$10=1,Carátula!$F$17*Catálogos!$R$4,0))</f>
        <v>0</v>
      </c>
      <c r="L82" s="135">
        <f>IF(B82="","",IF(F82=0,0,CAT!H45))</f>
        <v>0</v>
      </c>
      <c r="M82" s="124"/>
      <c r="N82" s="135">
        <f t="shared" si="8"/>
        <v>0</v>
      </c>
      <c r="O82" s="135">
        <f t="shared" si="7"/>
        <v>8376.1239260929742</v>
      </c>
      <c r="P82" s="135">
        <f t="shared" si="1"/>
        <v>487193.20930793032</v>
      </c>
      <c r="Q82" s="136">
        <f t="shared" si="2"/>
        <v>1</v>
      </c>
    </row>
    <row r="83" spans="2:17" x14ac:dyDescent="0.25">
      <c r="B83" s="131">
        <f t="shared" si="3"/>
        <v>40</v>
      </c>
      <c r="C83" s="132">
        <f ca="1">IF(B83="","",'Fecha Pago'!K43)</f>
        <v>46907</v>
      </c>
      <c r="D83" s="133">
        <f>IF(B83="","",'Fecha Pago'!L43)</f>
        <v>30.4</v>
      </c>
      <c r="E83" s="134">
        <f t="shared" si="0"/>
        <v>9.3799999999999994E-2</v>
      </c>
      <c r="F83" s="135">
        <f t="shared" si="4"/>
        <v>487193.20930793032</v>
      </c>
      <c r="G83" s="135">
        <f>IF(B83="","",IF(F83=0,0,MIN(F83,IF(Catálogos!$N$6=1,Prepagos!C42,IF(Catálogos!$N$6=2,Prepagos!D42,IF(Catálogos!$N$6=3,Prepagos!E42,))))))</f>
        <v>3600.6933103323868</v>
      </c>
      <c r="H83" s="135">
        <f t="shared" si="5"/>
        <v>3859.0032783493039</v>
      </c>
      <c r="I83" s="135">
        <f t="shared" si="6"/>
        <v>617.44052453588858</v>
      </c>
      <c r="J83" s="135">
        <f>IF(B83="","",IF(F83=0,0,F83*Catálogos!$R$1))</f>
        <v>292.31592558475819</v>
      </c>
      <c r="K83" s="135">
        <f>IF(B83="","",IF(Catálogos!$K$10=1,Carátula!$F$17*Catálogos!$R$4,0))</f>
        <v>0</v>
      </c>
      <c r="L83" s="135">
        <f>IF(B83="","",IF(F83=0,0,CAT!H46))</f>
        <v>0</v>
      </c>
      <c r="M83" s="124"/>
      <c r="N83" s="135">
        <f t="shared" si="8"/>
        <v>0</v>
      </c>
      <c r="O83" s="135">
        <f t="shared" si="7"/>
        <v>8369.4530388023377</v>
      </c>
      <c r="P83" s="135">
        <f t="shared" si="1"/>
        <v>483592.51599759795</v>
      </c>
      <c r="Q83" s="136">
        <f t="shared" si="2"/>
        <v>1</v>
      </c>
    </row>
    <row r="84" spans="2:17" x14ac:dyDescent="0.25">
      <c r="B84" s="131">
        <f t="shared" si="3"/>
        <v>41</v>
      </c>
      <c r="C84" s="132">
        <f ca="1">IF(B84="","",'Fecha Pago'!K44)</f>
        <v>46937</v>
      </c>
      <c r="D84" s="133">
        <f>IF(B84="","",'Fecha Pago'!L44)</f>
        <v>30.4</v>
      </c>
      <c r="E84" s="134">
        <f t="shared" si="0"/>
        <v>9.3799999999999994E-2</v>
      </c>
      <c r="F84" s="135">
        <f t="shared" si="4"/>
        <v>483592.51599759795</v>
      </c>
      <c r="G84" s="135">
        <f>IF(B84="","",IF(F84=0,0,MIN(F84,IF(Catálogos!$N$6=1,Prepagos!C43,IF(Catálogos!$N$6=2,Prepagos!D43,IF(Catálogos!$N$6=3,Prepagos!E43,))))))</f>
        <v>3629.2140019664948</v>
      </c>
      <c r="H84" s="135">
        <f t="shared" si="5"/>
        <v>3830.4825867151958</v>
      </c>
      <c r="I84" s="135">
        <f t="shared" si="6"/>
        <v>612.87721387443139</v>
      </c>
      <c r="J84" s="135">
        <f>IF(B84="","",IF(F84=0,0,F84*Catálogos!$R$1))</f>
        <v>290.15550959855875</v>
      </c>
      <c r="K84" s="135">
        <f>IF(B84="","",IF(Catálogos!$K$10=1,Carátula!$F$17*Catálogos!$R$4,0))</f>
        <v>0</v>
      </c>
      <c r="L84" s="135">
        <f>IF(B84="","",IF(F84=0,0,CAT!H47))</f>
        <v>0</v>
      </c>
      <c r="M84" s="124"/>
      <c r="N84" s="135">
        <f t="shared" si="8"/>
        <v>0</v>
      </c>
      <c r="O84" s="135">
        <f t="shared" si="7"/>
        <v>8362.7293121546809</v>
      </c>
      <c r="P84" s="135">
        <f t="shared" si="1"/>
        <v>479963.30199563142</v>
      </c>
      <c r="Q84" s="136">
        <f t="shared" si="2"/>
        <v>1</v>
      </c>
    </row>
    <row r="85" spans="2:17" x14ac:dyDescent="0.25">
      <c r="B85" s="131">
        <f t="shared" si="3"/>
        <v>42</v>
      </c>
      <c r="C85" s="132">
        <f ca="1">IF(B85="","",'Fecha Pago'!K45)</f>
        <v>46968</v>
      </c>
      <c r="D85" s="133">
        <f>IF(B85="","",'Fecha Pago'!L45)</f>
        <v>30.4</v>
      </c>
      <c r="E85" s="134">
        <f t="shared" si="0"/>
        <v>9.3799999999999994E-2</v>
      </c>
      <c r="F85" s="135">
        <f t="shared" si="4"/>
        <v>479963.30199563142</v>
      </c>
      <c r="G85" s="135">
        <f>IF(B85="","",IF(F85=0,0,MIN(F85,IF(Catálogos!$N$6=1,Prepagos!C44,IF(Catálogos!$N$6=2,Prepagos!D44,IF(Catálogos!$N$6=3,Prepagos!E44,))))))</f>
        <v>3657.9606028300714</v>
      </c>
      <c r="H85" s="135">
        <f t="shared" si="5"/>
        <v>3801.7359858516193</v>
      </c>
      <c r="I85" s="135">
        <f t="shared" si="6"/>
        <v>608.2777577362591</v>
      </c>
      <c r="J85" s="135">
        <f>IF(B85="","",IF(F85=0,0,F85*Catálogos!$R$1))</f>
        <v>287.97798119737882</v>
      </c>
      <c r="K85" s="135">
        <f>IF(B85="","",IF(Catálogos!$K$10=1,Carátula!$F$17*Catálogos!$R$4,0))</f>
        <v>0</v>
      </c>
      <c r="L85" s="135">
        <f>IF(B85="","",IF(F85=0,0,CAT!H48))</f>
        <v>0</v>
      </c>
      <c r="M85" s="124"/>
      <c r="N85" s="135">
        <f t="shared" si="8"/>
        <v>0</v>
      </c>
      <c r="O85" s="135">
        <f t="shared" si="7"/>
        <v>8355.9523276153286</v>
      </c>
      <c r="P85" s="135">
        <f t="shared" si="1"/>
        <v>476305.34139280138</v>
      </c>
      <c r="Q85" s="136">
        <f t="shared" si="2"/>
        <v>1</v>
      </c>
    </row>
    <row r="86" spans="2:17" x14ac:dyDescent="0.25">
      <c r="B86" s="131">
        <f t="shared" si="3"/>
        <v>43</v>
      </c>
      <c r="C86" s="132">
        <f ca="1">IF(B86="","",'Fecha Pago'!K46)</f>
        <v>46999</v>
      </c>
      <c r="D86" s="133">
        <f>IF(B86="","",'Fecha Pago'!L46)</f>
        <v>30.4</v>
      </c>
      <c r="E86" s="134">
        <f t="shared" si="0"/>
        <v>9.3799999999999994E-2</v>
      </c>
      <c r="F86" s="135">
        <f t="shared" si="4"/>
        <v>476305.34139280138</v>
      </c>
      <c r="G86" s="135">
        <f>IF(B86="","",IF(F86=0,0,MIN(F86,IF(Catálogos!$N$6=1,Prepagos!C45,IF(Catálogos!$N$6=2,Prepagos!D45,IF(Catálogos!$N$6=3,Prepagos!E45,))))))</f>
        <v>3686.9349023250211</v>
      </c>
      <c r="H86" s="135">
        <f t="shared" si="5"/>
        <v>3772.7616863566695</v>
      </c>
      <c r="I86" s="135">
        <f t="shared" si="6"/>
        <v>603.64186981706712</v>
      </c>
      <c r="J86" s="135">
        <f>IF(B86="","",IF(F86=0,0,F86*Catálogos!$R$1))</f>
        <v>285.78320483568081</v>
      </c>
      <c r="K86" s="135">
        <f>IF(B86="","",IF(Catálogos!$K$10=1,Carátula!$F$17*Catálogos!$R$4,0))</f>
        <v>0</v>
      </c>
      <c r="L86" s="135">
        <f>IF(B86="","",IF(F86=0,0,CAT!H49))</f>
        <v>0</v>
      </c>
      <c r="M86" s="124"/>
      <c r="N86" s="135">
        <f t="shared" si="8"/>
        <v>0</v>
      </c>
      <c r="O86" s="135">
        <f t="shared" si="7"/>
        <v>8349.1216633344393</v>
      </c>
      <c r="P86" s="135">
        <f t="shared" si="1"/>
        <v>472618.40649047634</v>
      </c>
      <c r="Q86" s="136">
        <f t="shared" si="2"/>
        <v>1</v>
      </c>
    </row>
    <row r="87" spans="2:17" x14ac:dyDescent="0.25">
      <c r="B87" s="131">
        <f t="shared" si="3"/>
        <v>44</v>
      </c>
      <c r="C87" s="132">
        <f ca="1">IF(B87="","",'Fecha Pago'!K47)</f>
        <v>47029</v>
      </c>
      <c r="D87" s="133">
        <f>IF(B87="","",'Fecha Pago'!L47)</f>
        <v>30.4</v>
      </c>
      <c r="E87" s="134">
        <f t="shared" si="0"/>
        <v>9.3799999999999994E-2</v>
      </c>
      <c r="F87" s="135">
        <f t="shared" si="4"/>
        <v>472618.40649047634</v>
      </c>
      <c r="G87" s="135">
        <f>IF(B87="","",IF(F87=0,0,MIN(F87,IF(Catálogos!$N$6=1,Prepagos!C46,IF(Catálogos!$N$6=2,Prepagos!D46,IF(Catálogos!$N$6=3,Prepagos!E46,))))))</f>
        <v>3716.1387040269042</v>
      </c>
      <c r="H87" s="135">
        <f t="shared" si="5"/>
        <v>3743.5578846547864</v>
      </c>
      <c r="I87" s="135">
        <f t="shared" si="6"/>
        <v>598.9692615447658</v>
      </c>
      <c r="J87" s="135">
        <f>IF(B87="","",IF(F87=0,0,F87*Catálogos!$R$1))</f>
        <v>283.57104389428576</v>
      </c>
      <c r="K87" s="135">
        <f>IF(B87="","",IF(Catálogos!$K$10=1,Carátula!$F$17*Catálogos!$R$4,0))</f>
        <v>0</v>
      </c>
      <c r="L87" s="135">
        <f>IF(B87="","",IF(F87=0,0,CAT!H50))</f>
        <v>0</v>
      </c>
      <c r="M87" s="124"/>
      <c r="N87" s="135">
        <f t="shared" si="8"/>
        <v>0</v>
      </c>
      <c r="O87" s="135">
        <f t="shared" si="7"/>
        <v>8342.2368941207424</v>
      </c>
      <c r="P87" s="135">
        <f t="shared" si="1"/>
        <v>468902.2677864494</v>
      </c>
      <c r="Q87" s="136">
        <f t="shared" si="2"/>
        <v>1</v>
      </c>
    </row>
    <row r="88" spans="2:17" x14ac:dyDescent="0.25">
      <c r="B88" s="131">
        <f t="shared" si="3"/>
        <v>45</v>
      </c>
      <c r="C88" s="132">
        <f ca="1">IF(B88="","",'Fecha Pago'!K48)</f>
        <v>47060</v>
      </c>
      <c r="D88" s="133">
        <f>IF(B88="","",'Fecha Pago'!L48)</f>
        <v>30.4</v>
      </c>
      <c r="E88" s="134">
        <f t="shared" si="0"/>
        <v>9.3799999999999994E-2</v>
      </c>
      <c r="F88" s="135">
        <f t="shared" si="4"/>
        <v>468902.2677864494</v>
      </c>
      <c r="G88" s="135">
        <f>IF(B88="","",IF(F88=0,0,MIN(F88,IF(Catálogos!$N$6=1,Prepagos!C47,IF(Catálogos!$N$6=2,Prepagos!D47,IF(Catálogos!$N$6=3,Prepagos!E47,))))))</f>
        <v>3745.5738257972012</v>
      </c>
      <c r="H88" s="135">
        <f t="shared" si="5"/>
        <v>3714.1227628844895</v>
      </c>
      <c r="I88" s="135">
        <f t="shared" si="6"/>
        <v>594.25964206151832</v>
      </c>
      <c r="J88" s="135">
        <f>IF(B88="","",IF(F88=0,0,F88*Catálogos!$R$1))</f>
        <v>281.34136067186961</v>
      </c>
      <c r="K88" s="135">
        <f>IF(B88="","",IF(Catálogos!$K$10=1,Carátula!$F$17*Catálogos!$R$4,0))</f>
        <v>0</v>
      </c>
      <c r="L88" s="135">
        <f>IF(B88="","",IF(F88=0,0,CAT!H51))</f>
        <v>0</v>
      </c>
      <c r="M88" s="124"/>
      <c r="N88" s="135">
        <f t="shared" si="8"/>
        <v>0</v>
      </c>
      <c r="O88" s="135">
        <f t="shared" si="7"/>
        <v>8335.2975914150793</v>
      </c>
      <c r="P88" s="135">
        <f t="shared" si="1"/>
        <v>465156.69396065222</v>
      </c>
      <c r="Q88" s="136">
        <f t="shared" si="2"/>
        <v>1</v>
      </c>
    </row>
    <row r="89" spans="2:17" x14ac:dyDescent="0.25">
      <c r="B89" s="131">
        <f t="shared" si="3"/>
        <v>46</v>
      </c>
      <c r="C89" s="132">
        <f ca="1">IF(B89="","",'Fecha Pago'!K49)</f>
        <v>47090</v>
      </c>
      <c r="D89" s="133">
        <f>IF(B89="","",'Fecha Pago'!L49)</f>
        <v>30.4</v>
      </c>
      <c r="E89" s="134">
        <f t="shared" si="0"/>
        <v>9.3799999999999994E-2</v>
      </c>
      <c r="F89" s="135">
        <f t="shared" si="4"/>
        <v>465156.69396065222</v>
      </c>
      <c r="G89" s="135">
        <f>IF(B89="","",IF(F89=0,0,MIN(F89,IF(Catálogos!$N$6=1,Prepagos!C48,IF(Catálogos!$N$6=2,Prepagos!D48,IF(Catálogos!$N$6=3,Prepagos!E48,))))))</f>
        <v>3775.2420998964712</v>
      </c>
      <c r="H89" s="135">
        <f t="shared" si="5"/>
        <v>3684.4544887852194</v>
      </c>
      <c r="I89" s="135">
        <f t="shared" si="6"/>
        <v>589.51271820563511</v>
      </c>
      <c r="J89" s="135">
        <f>IF(B89="","",IF(F89=0,0,F89*Catálogos!$R$1))</f>
        <v>279.09401637639132</v>
      </c>
      <c r="K89" s="135">
        <f>IF(B89="","",IF(Catálogos!$K$10=1,Carátula!$F$17*Catálogos!$R$4,0))</f>
        <v>0</v>
      </c>
      <c r="L89" s="135">
        <f>IF(B89="","",IF(F89=0,0,CAT!H52))</f>
        <v>0</v>
      </c>
      <c r="M89" s="124"/>
      <c r="N89" s="135">
        <f t="shared" si="8"/>
        <v>0</v>
      </c>
      <c r="O89" s="135">
        <f t="shared" si="7"/>
        <v>8328.3033232637172</v>
      </c>
      <c r="P89" s="135">
        <f t="shared" si="1"/>
        <v>461381.45186075574</v>
      </c>
      <c r="Q89" s="136">
        <f t="shared" si="2"/>
        <v>1</v>
      </c>
    </row>
    <row r="90" spans="2:17" x14ac:dyDescent="0.25">
      <c r="B90" s="131">
        <f t="shared" si="3"/>
        <v>47</v>
      </c>
      <c r="C90" s="132">
        <f ca="1">IF(B90="","",'Fecha Pago'!K50)</f>
        <v>47121</v>
      </c>
      <c r="D90" s="133">
        <f>IF(B90="","",'Fecha Pago'!L50)</f>
        <v>30.4</v>
      </c>
      <c r="E90" s="134">
        <f t="shared" si="0"/>
        <v>9.3799999999999994E-2</v>
      </c>
      <c r="F90" s="135">
        <f t="shared" si="4"/>
        <v>461381.45186075574</v>
      </c>
      <c r="G90" s="135">
        <f>IF(B90="","",IF(F90=0,0,MIN(F90,IF(Catálogos!$N$6=1,Prepagos!C49,IF(Catálogos!$N$6=2,Prepagos!D49,IF(Catálogos!$N$6=3,Prepagos!E49,))))))</f>
        <v>3805.1453730984067</v>
      </c>
      <c r="H90" s="135">
        <f t="shared" si="5"/>
        <v>3654.5512155832839</v>
      </c>
      <c r="I90" s="135">
        <f t="shared" si="6"/>
        <v>584.72819449332542</v>
      </c>
      <c r="J90" s="135">
        <f>IF(B90="","",IF(F90=0,0,F90*Catálogos!$R$1))</f>
        <v>276.8288711164534</v>
      </c>
      <c r="K90" s="135">
        <f>IF(B90="","",IF(Catálogos!$K$10=1,Carátula!$F$17*Catálogos!$R$4,0))</f>
        <v>0</v>
      </c>
      <c r="L90" s="135">
        <f>IF(B90="","",IF(F90=0,0,CAT!H53))</f>
        <v>0</v>
      </c>
      <c r="M90" s="124"/>
      <c r="N90" s="135">
        <f t="shared" si="8"/>
        <v>0</v>
      </c>
      <c r="O90" s="135">
        <f t="shared" si="7"/>
        <v>8321.2536542914695</v>
      </c>
      <c r="P90" s="135">
        <f t="shared" si="1"/>
        <v>457576.30648765736</v>
      </c>
      <c r="Q90" s="136">
        <f t="shared" si="2"/>
        <v>1</v>
      </c>
    </row>
    <row r="91" spans="2:17" x14ac:dyDescent="0.25">
      <c r="B91" s="131">
        <f t="shared" si="3"/>
        <v>48</v>
      </c>
      <c r="C91" s="132">
        <f ca="1">IF(B91="","",'Fecha Pago'!K51)</f>
        <v>47152</v>
      </c>
      <c r="D91" s="133">
        <f>IF(B91="","",'Fecha Pago'!L51)</f>
        <v>30.4</v>
      </c>
      <c r="E91" s="134">
        <f t="shared" si="0"/>
        <v>9.3799999999999994E-2</v>
      </c>
      <c r="F91" s="135">
        <f t="shared" si="4"/>
        <v>457576.30648765736</v>
      </c>
      <c r="G91" s="135">
        <f>IF(B91="","",IF(F91=0,0,MIN(F91,IF(Catálogos!$N$6=1,Prepagos!C50,IF(Catálogos!$N$6=2,Prepagos!D50,IF(Catálogos!$N$6=3,Prepagos!E50,))))))</f>
        <v>3835.2855068047888</v>
      </c>
      <c r="H91" s="135">
        <f t="shared" si="5"/>
        <v>3624.4110818769018</v>
      </c>
      <c r="I91" s="135">
        <f t="shared" si="6"/>
        <v>579.90577310030426</v>
      </c>
      <c r="J91" s="135">
        <f>IF(B91="","",IF(F91=0,0,F91*Catálogos!$R$1))</f>
        <v>274.54578389259439</v>
      </c>
      <c r="K91" s="135">
        <f>IF(B91="","",IF(Catálogos!$K$10=1,Carátula!$F$17*Catálogos!$R$4,0))</f>
        <v>0</v>
      </c>
      <c r="L91" s="135">
        <f>IF(B91="","",IF(F91=0,0,CAT!H54))</f>
        <v>0</v>
      </c>
      <c r="M91" s="124"/>
      <c r="N91" s="135">
        <f t="shared" si="8"/>
        <v>0</v>
      </c>
      <c r="O91" s="135">
        <f t="shared" si="7"/>
        <v>8314.1481456745896</v>
      </c>
      <c r="P91" s="135">
        <f t="shared" si="1"/>
        <v>453741.0209808526</v>
      </c>
      <c r="Q91" s="136">
        <f t="shared" si="2"/>
        <v>1</v>
      </c>
    </row>
    <row r="92" spans="2:17" x14ac:dyDescent="0.25">
      <c r="B92" s="131">
        <f t="shared" si="3"/>
        <v>49</v>
      </c>
      <c r="C92" s="132">
        <f ca="1">IF(B92="","",'Fecha Pago'!K52)</f>
        <v>47180</v>
      </c>
      <c r="D92" s="133">
        <f>IF(B92="","",'Fecha Pago'!L52)</f>
        <v>30.4</v>
      </c>
      <c r="E92" s="134">
        <f t="shared" si="0"/>
        <v>9.3799999999999994E-2</v>
      </c>
      <c r="F92" s="135">
        <f t="shared" si="4"/>
        <v>453741.0209808526</v>
      </c>
      <c r="G92" s="135">
        <f>IF(B92="","",IF(F92=0,0,MIN(F92,IF(Catálogos!$N$6=1,Prepagos!C51,IF(Catálogos!$N$6=2,Prepagos!D51,IF(Catálogos!$N$6=3,Prepagos!E51,))))))</f>
        <v>3865.6643771613553</v>
      </c>
      <c r="H92" s="135">
        <f t="shared" si="5"/>
        <v>3594.0322115203353</v>
      </c>
      <c r="I92" s="135">
        <f t="shared" si="6"/>
        <v>575.04515384325362</v>
      </c>
      <c r="J92" s="135">
        <f>IF(B92="","",IF(F92=0,0,F92*Catálogos!$R$1))</f>
        <v>272.24461258851153</v>
      </c>
      <c r="K92" s="135">
        <f>IF(B92="","",IF(Catálogos!$K$10=1,Carátula!$F$17*Catálogos!$R$4,0))</f>
        <v>0</v>
      </c>
      <c r="L92" s="135">
        <f>IF(B92="","",IF(F92=0,0,CAT!H55))</f>
        <v>0</v>
      </c>
      <c r="M92" s="124"/>
      <c r="N92" s="135">
        <f t="shared" si="8"/>
        <v>0</v>
      </c>
      <c r="O92" s="135">
        <f t="shared" si="7"/>
        <v>8306.9863551134549</v>
      </c>
      <c r="P92" s="135">
        <f t="shared" si="1"/>
        <v>449875.35660369124</v>
      </c>
      <c r="Q92" s="136">
        <f t="shared" si="2"/>
        <v>1</v>
      </c>
    </row>
    <row r="93" spans="2:17" x14ac:dyDescent="0.25">
      <c r="B93" s="131">
        <f t="shared" si="3"/>
        <v>50</v>
      </c>
      <c r="C93" s="132">
        <f ca="1">IF(B93="","",'Fecha Pago'!K53)</f>
        <v>47211</v>
      </c>
      <c r="D93" s="133">
        <f>IF(B93="","",'Fecha Pago'!L53)</f>
        <v>30.4</v>
      </c>
      <c r="E93" s="134">
        <f t="shared" si="0"/>
        <v>9.3799999999999994E-2</v>
      </c>
      <c r="F93" s="135">
        <f t="shared" si="4"/>
        <v>449875.35660369124</v>
      </c>
      <c r="G93" s="135">
        <f>IF(B93="","",IF(F93=0,0,MIN(F93,IF(Catálogos!$N$6=1,Prepagos!C52,IF(Catálogos!$N$6=2,Prepagos!D52,IF(Catálogos!$N$6=3,Prepagos!E52,))))))</f>
        <v>3896.2838751745862</v>
      </c>
      <c r="H93" s="135">
        <f t="shared" si="5"/>
        <v>3563.4127135071044</v>
      </c>
      <c r="I93" s="135">
        <f t="shared" si="6"/>
        <v>570.14603416113675</v>
      </c>
      <c r="J93" s="135">
        <f>IF(B93="","",IF(F93=0,0,F93*Catálogos!$R$1))</f>
        <v>269.92521396221474</v>
      </c>
      <c r="K93" s="135">
        <f>IF(B93="","",IF(Catálogos!$K$10=1,Carátula!$F$17*Catálogos!$R$4,0))</f>
        <v>0</v>
      </c>
      <c r="L93" s="135">
        <f>IF(B93="","",IF(F93=0,0,CAT!H56))</f>
        <v>0</v>
      </c>
      <c r="M93" s="124"/>
      <c r="N93" s="135">
        <f t="shared" si="8"/>
        <v>0</v>
      </c>
      <c r="O93" s="135">
        <f t="shared" si="7"/>
        <v>8299.767836805042</v>
      </c>
      <c r="P93" s="135">
        <f t="shared" si="1"/>
        <v>445979.07272851665</v>
      </c>
      <c r="Q93" s="136">
        <f t="shared" si="2"/>
        <v>1</v>
      </c>
    </row>
    <row r="94" spans="2:17" x14ac:dyDescent="0.25">
      <c r="B94" s="131">
        <f t="shared" si="3"/>
        <v>51</v>
      </c>
      <c r="C94" s="132">
        <f ca="1">IF(B94="","",'Fecha Pago'!K54)</f>
        <v>47241</v>
      </c>
      <c r="D94" s="133">
        <f>IF(B94="","",'Fecha Pago'!L54)</f>
        <v>30.4</v>
      </c>
      <c r="E94" s="134">
        <f t="shared" si="0"/>
        <v>9.3799999999999994E-2</v>
      </c>
      <c r="F94" s="135">
        <f t="shared" si="4"/>
        <v>445979.07272851665</v>
      </c>
      <c r="G94" s="135">
        <f>IF(B94="","",IF(F94=0,0,MIN(F94,IF(Catálogos!$N$6=1,Prepagos!C53,IF(Catálogos!$N$6=2,Prepagos!D53,IF(Catálogos!$N$6=3,Prepagos!E53,))))))</f>
        <v>3927.1459068294134</v>
      </c>
      <c r="H94" s="135">
        <f t="shared" si="5"/>
        <v>3532.5506818522772</v>
      </c>
      <c r="I94" s="135">
        <f t="shared" si="6"/>
        <v>565.20810909636441</v>
      </c>
      <c r="J94" s="135">
        <f>IF(B94="","",IF(F94=0,0,F94*Catálogos!$R$1))</f>
        <v>267.58744363710997</v>
      </c>
      <c r="K94" s="135">
        <f>IF(B94="","",IF(Catálogos!$K$10=1,Carátula!$F$17*Catálogos!$R$4,0))</f>
        <v>0</v>
      </c>
      <c r="L94" s="135">
        <f>IF(B94="","",IF(F94=0,0,CAT!H57))</f>
        <v>0</v>
      </c>
      <c r="M94" s="124"/>
      <c r="N94" s="135">
        <f t="shared" si="8"/>
        <v>0</v>
      </c>
      <c r="O94" s="135">
        <f t="shared" si="7"/>
        <v>8292.492141415165</v>
      </c>
      <c r="P94" s="135">
        <f t="shared" si="1"/>
        <v>442051.92682168726</v>
      </c>
      <c r="Q94" s="136">
        <f t="shared" si="2"/>
        <v>1</v>
      </c>
    </row>
    <row r="95" spans="2:17" x14ac:dyDescent="0.25">
      <c r="B95" s="131">
        <f t="shared" si="3"/>
        <v>52</v>
      </c>
      <c r="C95" s="132">
        <f ca="1">IF(B95="","",'Fecha Pago'!K55)</f>
        <v>47272</v>
      </c>
      <c r="D95" s="133">
        <f>IF(B95="","",'Fecha Pago'!L55)</f>
        <v>30.4</v>
      </c>
      <c r="E95" s="134">
        <f t="shared" si="0"/>
        <v>9.3799999999999994E-2</v>
      </c>
      <c r="F95" s="135">
        <f t="shared" si="4"/>
        <v>442051.92682168726</v>
      </c>
      <c r="G95" s="135">
        <f>IF(B95="","",IF(F95=0,0,MIN(F95,IF(Catálogos!$N$6=1,Prepagos!C54,IF(Catálogos!$N$6=2,Prepagos!D54,IF(Catálogos!$N$6=3,Prepagos!E54,))))))</f>
        <v>3958.2523932078639</v>
      </c>
      <c r="H95" s="135">
        <f t="shared" si="5"/>
        <v>3501.4441954738268</v>
      </c>
      <c r="I95" s="135">
        <f t="shared" si="6"/>
        <v>560.23107127581227</v>
      </c>
      <c r="J95" s="135">
        <f>IF(B95="","",IF(F95=0,0,F95*Catálogos!$R$1))</f>
        <v>265.23115609301232</v>
      </c>
      <c r="K95" s="135">
        <f>IF(B95="","",IF(Catálogos!$K$10=1,Carátula!$F$17*Catálogos!$R$4,0))</f>
        <v>0</v>
      </c>
      <c r="L95" s="135">
        <f>IF(B95="","",IF(F95=0,0,CAT!H58))</f>
        <v>0</v>
      </c>
      <c r="M95" s="124"/>
      <c r="N95" s="135">
        <f t="shared" si="8"/>
        <v>0</v>
      </c>
      <c r="O95" s="135">
        <f t="shared" si="7"/>
        <v>8285.1588160505162</v>
      </c>
      <c r="P95" s="135">
        <f t="shared" si="1"/>
        <v>438093.6744284794</v>
      </c>
      <c r="Q95" s="136">
        <f t="shared" si="2"/>
        <v>1</v>
      </c>
    </row>
    <row r="96" spans="2:17" x14ac:dyDescent="0.25">
      <c r="B96" s="131">
        <f t="shared" si="3"/>
        <v>53</v>
      </c>
      <c r="C96" s="132">
        <f ca="1">IF(B96="","",'Fecha Pago'!K56)</f>
        <v>47302</v>
      </c>
      <c r="D96" s="133">
        <f>IF(B96="","",'Fecha Pago'!L56)</f>
        <v>30.4</v>
      </c>
      <c r="E96" s="134">
        <f t="shared" si="0"/>
        <v>9.3799999999999994E-2</v>
      </c>
      <c r="F96" s="135">
        <f t="shared" si="4"/>
        <v>438093.6744284794</v>
      </c>
      <c r="G96" s="135">
        <f>IF(B96="","",IF(F96=0,0,MIN(F96,IF(Catálogos!$N$6=1,Prepagos!C55,IF(Catálogos!$N$6=2,Prepagos!D55,IF(Catálogos!$N$6=3,Prepagos!E55,))))))</f>
        <v>3989.6052706086421</v>
      </c>
      <c r="H96" s="135">
        <f t="shared" si="5"/>
        <v>3470.0913180730486</v>
      </c>
      <c r="I96" s="135">
        <f t="shared" si="6"/>
        <v>555.21461089168781</v>
      </c>
      <c r="J96" s="135">
        <f>IF(B96="","",IF(F96=0,0,F96*Catálogos!$R$1))</f>
        <v>262.85620465708763</v>
      </c>
      <c r="K96" s="135">
        <f>IF(B96="","",IF(Catálogos!$K$10=1,Carátula!$F$17*Catálogos!$R$4,0))</f>
        <v>0</v>
      </c>
      <c r="L96" s="135">
        <f>IF(B96="","",IF(F96=0,0,CAT!H59))</f>
        <v>0</v>
      </c>
      <c r="M96" s="124"/>
      <c r="N96" s="135">
        <f t="shared" si="8"/>
        <v>0</v>
      </c>
      <c r="O96" s="135">
        <f t="shared" si="7"/>
        <v>8277.7674042304661</v>
      </c>
      <c r="P96" s="135">
        <f t="shared" si="1"/>
        <v>434104.06915787078</v>
      </c>
      <c r="Q96" s="136">
        <f t="shared" si="2"/>
        <v>1</v>
      </c>
    </row>
    <row r="97" spans="2:17" x14ac:dyDescent="0.25">
      <c r="B97" s="131">
        <f t="shared" si="3"/>
        <v>54</v>
      </c>
      <c r="C97" s="132">
        <f ca="1">IF(B97="","",'Fecha Pago'!K57)</f>
        <v>47333</v>
      </c>
      <c r="D97" s="133">
        <f>IF(B97="","",'Fecha Pago'!L57)</f>
        <v>30.4</v>
      </c>
      <c r="E97" s="134">
        <f t="shared" si="0"/>
        <v>9.3799999999999994E-2</v>
      </c>
      <c r="F97" s="135">
        <f t="shared" si="4"/>
        <v>434104.06915787078</v>
      </c>
      <c r="G97" s="135">
        <f>IF(B97="","",IF(F97=0,0,MIN(F97,IF(Catálogos!$N$6=1,Prepagos!C56,IF(Catálogos!$N$6=2,Prepagos!D56,IF(Catálogos!$N$6=3,Prepagos!E56,))))))</f>
        <v>4021.2064906676583</v>
      </c>
      <c r="H97" s="135">
        <f t="shared" si="5"/>
        <v>3438.4900980140324</v>
      </c>
      <c r="I97" s="135">
        <f t="shared" si="6"/>
        <v>550.15841568224516</v>
      </c>
      <c r="J97" s="135">
        <f>IF(B97="","",IF(F97=0,0,F97*Catálogos!$R$1))</f>
        <v>260.46244149472244</v>
      </c>
      <c r="K97" s="135">
        <f>IF(B97="","",IF(Catálogos!$K$10=1,Carátula!$F$17*Catálogos!$R$4,0))</f>
        <v>0</v>
      </c>
      <c r="L97" s="135">
        <f>IF(B97="","",IF(F97=0,0,CAT!H60))</f>
        <v>0</v>
      </c>
      <c r="M97" s="124"/>
      <c r="N97" s="135">
        <f t="shared" si="8"/>
        <v>0</v>
      </c>
      <c r="O97" s="135">
        <f t="shared" si="7"/>
        <v>8270.3174458586582</v>
      </c>
      <c r="P97" s="135">
        <f t="shared" si="1"/>
        <v>430082.86266720312</v>
      </c>
      <c r="Q97" s="136">
        <f t="shared" si="2"/>
        <v>1</v>
      </c>
    </row>
    <row r="98" spans="2:17" x14ac:dyDescent="0.25">
      <c r="B98" s="131">
        <f t="shared" si="3"/>
        <v>55</v>
      </c>
      <c r="C98" s="132">
        <f ca="1">IF(B98="","",'Fecha Pago'!K58)</f>
        <v>47364</v>
      </c>
      <c r="D98" s="133">
        <f>IF(B98="","",'Fecha Pago'!L58)</f>
        <v>30.4</v>
      </c>
      <c r="E98" s="134">
        <f t="shared" si="0"/>
        <v>9.3799999999999994E-2</v>
      </c>
      <c r="F98" s="135">
        <f t="shared" si="4"/>
        <v>430082.86266720312</v>
      </c>
      <c r="G98" s="135">
        <f>IF(B98="","",IF(F98=0,0,MIN(F98,IF(Catálogos!$N$6=1,Prepagos!C57,IF(Catálogos!$N$6=2,Prepagos!D57,IF(Catálogos!$N$6=3,Prepagos!E57,))))))</f>
        <v>4053.0580204795156</v>
      </c>
      <c r="H98" s="135">
        <f t="shared" si="5"/>
        <v>3406.6385682021751</v>
      </c>
      <c r="I98" s="135">
        <f t="shared" si="6"/>
        <v>545.06217091234805</v>
      </c>
      <c r="J98" s="135">
        <f>IF(B98="","",IF(F98=0,0,F98*Catálogos!$R$1))</f>
        <v>258.04971760032186</v>
      </c>
      <c r="K98" s="135">
        <f>IF(B98="","",IF(Catálogos!$K$10=1,Carátula!$F$17*Catálogos!$R$4,0))</f>
        <v>0</v>
      </c>
      <c r="L98" s="135">
        <f>IF(B98="","",IF(F98=0,0,CAT!H61))</f>
        <v>0</v>
      </c>
      <c r="M98" s="124"/>
      <c r="N98" s="135">
        <f t="shared" si="8"/>
        <v>0</v>
      </c>
      <c r="O98" s="135">
        <f t="shared" si="7"/>
        <v>8262.8084771943613</v>
      </c>
      <c r="P98" s="135">
        <f t="shared" si="1"/>
        <v>426029.80464672361</v>
      </c>
      <c r="Q98" s="136">
        <f t="shared" si="2"/>
        <v>1</v>
      </c>
    </row>
    <row r="99" spans="2:17" x14ac:dyDescent="0.25">
      <c r="B99" s="131">
        <f t="shared" si="3"/>
        <v>56</v>
      </c>
      <c r="C99" s="132">
        <f ca="1">IF(B99="","",'Fecha Pago'!K59)</f>
        <v>47394</v>
      </c>
      <c r="D99" s="133">
        <f>IF(B99="","",'Fecha Pago'!L59)</f>
        <v>30.4</v>
      </c>
      <c r="E99" s="134">
        <f t="shared" si="0"/>
        <v>9.3799999999999994E-2</v>
      </c>
      <c r="F99" s="135">
        <f t="shared" si="4"/>
        <v>426029.80464672361</v>
      </c>
      <c r="G99" s="135">
        <f>IF(B99="","",IF(F99=0,0,MIN(F99,IF(Catálogos!$N$6=1,Prepagos!C58,IF(Catálogos!$N$6=2,Prepagos!D58,IF(Catálogos!$N$6=3,Prepagos!E58,))))))</f>
        <v>4085.1618427199537</v>
      </c>
      <c r="H99" s="135">
        <f t="shared" si="5"/>
        <v>3374.5347459617369</v>
      </c>
      <c r="I99" s="135">
        <f t="shared" si="6"/>
        <v>539.92555935387793</v>
      </c>
      <c r="J99" s="135">
        <f>IF(B99="","",IF(F99=0,0,F99*Catálogos!$R$1))</f>
        <v>255.61788278803414</v>
      </c>
      <c r="K99" s="135">
        <f>IF(B99="","",IF(Catálogos!$K$10=1,Carátula!$F$17*Catálogos!$R$4,0))</f>
        <v>0</v>
      </c>
      <c r="L99" s="135">
        <f>IF(B99="","",IF(F99=0,0,CAT!H62))</f>
        <v>0</v>
      </c>
      <c r="M99" s="124"/>
      <c r="N99" s="135">
        <f t="shared" si="8"/>
        <v>0</v>
      </c>
      <c r="O99" s="135">
        <f t="shared" si="7"/>
        <v>8255.2400308236029</v>
      </c>
      <c r="P99" s="135">
        <f t="shared" si="1"/>
        <v>421944.64280400367</v>
      </c>
      <c r="Q99" s="136">
        <f t="shared" si="2"/>
        <v>1</v>
      </c>
    </row>
    <row r="100" spans="2:17" x14ac:dyDescent="0.25">
      <c r="B100" s="131">
        <f t="shared" si="3"/>
        <v>57</v>
      </c>
      <c r="C100" s="132">
        <f ca="1">IF(B100="","",'Fecha Pago'!K60)</f>
        <v>47425</v>
      </c>
      <c r="D100" s="133">
        <f>IF(B100="","",'Fecha Pago'!L60)</f>
        <v>30.4</v>
      </c>
      <c r="E100" s="134">
        <f t="shared" si="0"/>
        <v>9.3799999999999994E-2</v>
      </c>
      <c r="F100" s="135">
        <f t="shared" si="4"/>
        <v>421944.64280400367</v>
      </c>
      <c r="G100" s="135">
        <f>IF(B100="","",IF(F100=0,0,MIN(F100,IF(Catálogos!$N$6=1,Prepagos!C59,IF(Catálogos!$N$6=2,Prepagos!D59,IF(Catálogos!$N$6=3,Prepagos!E59,))))))</f>
        <v>4117.5199557692667</v>
      </c>
      <c r="H100" s="135">
        <f t="shared" si="5"/>
        <v>3342.1766329124239</v>
      </c>
      <c r="I100" s="135">
        <f t="shared" si="6"/>
        <v>534.74826126598782</v>
      </c>
      <c r="J100" s="135">
        <f>IF(B100="","",IF(F100=0,0,F100*Catálogos!$R$1))</f>
        <v>253.16678568240218</v>
      </c>
      <c r="K100" s="135">
        <f>IF(B100="","",IF(Catálogos!$K$10=1,Carátula!$F$17*Catálogos!$R$4,0))</f>
        <v>0</v>
      </c>
      <c r="L100" s="135">
        <f>IF(B100="","",IF(F100=0,0,CAT!H63))</f>
        <v>0</v>
      </c>
      <c r="M100" s="124"/>
      <c r="N100" s="135">
        <f t="shared" si="8"/>
        <v>0</v>
      </c>
      <c r="O100" s="135">
        <f t="shared" si="7"/>
        <v>8247.6116356300809</v>
      </c>
      <c r="P100" s="135">
        <f t="shared" si="1"/>
        <v>417827.12284823443</v>
      </c>
      <c r="Q100" s="136">
        <f t="shared" si="2"/>
        <v>1</v>
      </c>
    </row>
    <row r="101" spans="2:17" x14ac:dyDescent="0.25">
      <c r="B101" s="131">
        <f t="shared" si="3"/>
        <v>58</v>
      </c>
      <c r="C101" s="132">
        <f ca="1">IF(B101="","",'Fecha Pago'!K61)</f>
        <v>47455</v>
      </c>
      <c r="D101" s="133">
        <f>IF(B101="","",'Fecha Pago'!L61)</f>
        <v>30.4</v>
      </c>
      <c r="E101" s="134">
        <f t="shared" si="0"/>
        <v>9.3799999999999994E-2</v>
      </c>
      <c r="F101" s="135">
        <f t="shared" si="4"/>
        <v>417827.12284823443</v>
      </c>
      <c r="G101" s="135">
        <f>IF(B101="","",IF(F101=0,0,MIN(F101,IF(Catálogos!$N$6=1,Prepagos!C60,IF(Catálogos!$N$6=2,Prepagos!D60,IF(Catálogos!$N$6=3,Prepagos!E60,))))))</f>
        <v>4150.1343738366977</v>
      </c>
      <c r="H101" s="135">
        <f t="shared" si="5"/>
        <v>3309.5622148449929</v>
      </c>
      <c r="I101" s="135">
        <f t="shared" si="6"/>
        <v>529.52995437519883</v>
      </c>
      <c r="J101" s="135">
        <f>IF(B101="","",IF(F101=0,0,F101*Catálogos!$R$1))</f>
        <v>250.69627370894062</v>
      </c>
      <c r="K101" s="135">
        <f>IF(B101="","",IF(Catálogos!$K$10=1,Carátula!$F$17*Catálogos!$R$4,0))</f>
        <v>0</v>
      </c>
      <c r="L101" s="135">
        <f>IF(B101="","",IF(F101=0,0,CAT!H64))</f>
        <v>0</v>
      </c>
      <c r="M101" s="124"/>
      <c r="N101" s="135">
        <f t="shared" si="8"/>
        <v>0</v>
      </c>
      <c r="O101" s="135">
        <f t="shared" si="7"/>
        <v>8239.9228167658293</v>
      </c>
      <c r="P101" s="135">
        <f t="shared" si="1"/>
        <v>413676.98847439775</v>
      </c>
      <c r="Q101" s="136">
        <f t="shared" si="2"/>
        <v>1</v>
      </c>
    </row>
    <row r="102" spans="2:17" x14ac:dyDescent="0.25">
      <c r="B102" s="131">
        <f t="shared" si="3"/>
        <v>59</v>
      </c>
      <c r="C102" s="132">
        <f ca="1">IF(B102="","",'Fecha Pago'!K62)</f>
        <v>47486</v>
      </c>
      <c r="D102" s="133">
        <f>IF(B102="","",'Fecha Pago'!L62)</f>
        <v>30.4</v>
      </c>
      <c r="E102" s="134">
        <f t="shared" si="0"/>
        <v>9.3799999999999994E-2</v>
      </c>
      <c r="F102" s="135">
        <f t="shared" si="4"/>
        <v>413676.98847439775</v>
      </c>
      <c r="G102" s="135">
        <f>IF(B102="","",IF(F102=0,0,MIN(F102,IF(Catálogos!$N$6=1,Prepagos!C61,IF(Catálogos!$N$6=2,Prepagos!D61,IF(Catálogos!$N$6=3,Prepagos!E61,))))))</f>
        <v>4183.007127085817</v>
      </c>
      <c r="H102" s="135">
        <f t="shared" si="5"/>
        <v>3276.689461595874</v>
      </c>
      <c r="I102" s="135">
        <f t="shared" si="6"/>
        <v>524.27031385533985</v>
      </c>
      <c r="J102" s="135">
        <f>IF(B102="","",IF(F102=0,0,F102*Catálogos!$R$1))</f>
        <v>248.20619308463861</v>
      </c>
      <c r="K102" s="135">
        <f>IF(B102="","",IF(Catálogos!$K$10=1,Carátula!$F$17*Catálogos!$R$4,0))</f>
        <v>0</v>
      </c>
      <c r="L102" s="135">
        <f>IF(B102="","",IF(F102=0,0,CAT!H65))</f>
        <v>0</v>
      </c>
      <c r="M102" s="124"/>
      <c r="N102" s="135">
        <f t="shared" si="8"/>
        <v>0</v>
      </c>
      <c r="O102" s="135">
        <f t="shared" si="7"/>
        <v>8232.1730956216688</v>
      </c>
      <c r="P102" s="135">
        <f t="shared" si="1"/>
        <v>409493.98134731193</v>
      </c>
      <c r="Q102" s="136">
        <f t="shared" si="2"/>
        <v>1</v>
      </c>
    </row>
    <row r="103" spans="2:17" x14ac:dyDescent="0.25">
      <c r="B103" s="131">
        <f t="shared" si="3"/>
        <v>60</v>
      </c>
      <c r="C103" s="132">
        <f ca="1">IF(B103="","",'Fecha Pago'!K63)</f>
        <v>47517</v>
      </c>
      <c r="D103" s="133">
        <f>IF(B103="","",'Fecha Pago'!L63)</f>
        <v>30.4</v>
      </c>
      <c r="E103" s="134">
        <f t="shared" si="0"/>
        <v>9.3799999999999994E-2</v>
      </c>
      <c r="F103" s="135">
        <f t="shared" si="4"/>
        <v>409493.98134731193</v>
      </c>
      <c r="G103" s="135">
        <f>IF(B103="","",IF(F103=0,0,MIN(F103,IF(Catálogos!$N$6=1,Prepagos!C62,IF(Catálogos!$N$6=2,Prepagos!D62,IF(Catálogos!$N$6=3,Prepagos!E62,))))))</f>
        <v>4216.1402617608937</v>
      </c>
      <c r="H103" s="135">
        <f t="shared" si="5"/>
        <v>3243.5563269207969</v>
      </c>
      <c r="I103" s="135">
        <f t="shared" si="6"/>
        <v>518.96901230732749</v>
      </c>
      <c r="J103" s="135">
        <f>IF(B103="","",IF(F103=0,0,F103*Catálogos!$R$1))</f>
        <v>245.69638880838713</v>
      </c>
      <c r="K103" s="135">
        <f>IF(B103="","",IF(Catálogos!$K$10=1,Carátula!$F$17*Catálogos!$R$4,0))</f>
        <v>0</v>
      </c>
      <c r="L103" s="135">
        <f>IF(B103="","",IF(F103=0,0,CAT!H66))</f>
        <v>0</v>
      </c>
      <c r="M103" s="124"/>
      <c r="N103" s="135">
        <f t="shared" si="8"/>
        <v>0</v>
      </c>
      <c r="O103" s="135">
        <f t="shared" si="7"/>
        <v>8224.3619897974058</v>
      </c>
      <c r="P103" s="135">
        <f t="shared" si="1"/>
        <v>405277.84108555102</v>
      </c>
      <c r="Q103" s="136">
        <f t="shared" si="2"/>
        <v>1</v>
      </c>
    </row>
    <row r="104" spans="2:17" x14ac:dyDescent="0.25">
      <c r="B104" s="131">
        <f t="shared" si="3"/>
        <v>61</v>
      </c>
      <c r="C104" s="132">
        <f ca="1">IF(B104="","",'Fecha Pago'!K64)</f>
        <v>47545</v>
      </c>
      <c r="D104" s="133">
        <f>IF(B104="","",'Fecha Pago'!L64)</f>
        <v>30.4</v>
      </c>
      <c r="E104" s="134">
        <f t="shared" si="0"/>
        <v>9.3799999999999994E-2</v>
      </c>
      <c r="F104" s="135">
        <f t="shared" si="4"/>
        <v>405277.84108555102</v>
      </c>
      <c r="G104" s="135">
        <f>IF(B104="","",IF(F104=0,0,MIN(F104,IF(Catálogos!$N$6=1,Prepagos!C63,IF(Catálogos!$N$6=2,Prepagos!D63,IF(Catálogos!$N$6=3,Prepagos!E63,))))))</f>
        <v>4249.5358403142727</v>
      </c>
      <c r="H104" s="135">
        <f t="shared" si="5"/>
        <v>3210.1607483674179</v>
      </c>
      <c r="I104" s="135">
        <f t="shared" si="6"/>
        <v>513.62571973878687</v>
      </c>
      <c r="J104" s="135">
        <f>IF(B104="","",IF(F104=0,0,F104*Catálogos!$R$1))</f>
        <v>243.16670465133058</v>
      </c>
      <c r="K104" s="135">
        <f>IF(B104="","",IF(Catálogos!$K$10=1,Carátula!$F$17*Catálogos!$R$4,0))</f>
        <v>0</v>
      </c>
      <c r="L104" s="135">
        <f>IF(B104="","",IF(F104=0,0,CAT!H67))</f>
        <v>0</v>
      </c>
      <c r="M104" s="124"/>
      <c r="N104" s="135">
        <f t="shared" si="8"/>
        <v>0</v>
      </c>
      <c r="O104" s="135">
        <f t="shared" si="7"/>
        <v>8216.4890130718086</v>
      </c>
      <c r="P104" s="135">
        <f t="shared" si="1"/>
        <v>401028.30524523673</v>
      </c>
      <c r="Q104" s="136">
        <f t="shared" si="2"/>
        <v>1</v>
      </c>
    </row>
    <row r="105" spans="2:17" x14ac:dyDescent="0.25">
      <c r="B105" s="131">
        <f t="shared" si="3"/>
        <v>62</v>
      </c>
      <c r="C105" s="132">
        <f ca="1">IF(B105="","",'Fecha Pago'!K65)</f>
        <v>47576</v>
      </c>
      <c r="D105" s="133">
        <f>IF(B105="","",'Fecha Pago'!L65)</f>
        <v>30.4</v>
      </c>
      <c r="E105" s="134">
        <f t="shared" si="0"/>
        <v>9.3799999999999994E-2</v>
      </c>
      <c r="F105" s="135">
        <f t="shared" si="4"/>
        <v>401028.30524523673</v>
      </c>
      <c r="G105" s="135">
        <f>IF(B105="","",IF(F105=0,0,MIN(F105,IF(Catálogos!$N$6=1,Prepagos!C64,IF(Catálogos!$N$6=2,Prepagos!D64,IF(Catálogos!$N$6=3,Prepagos!E64,))))))</f>
        <v>4283.1959415347537</v>
      </c>
      <c r="H105" s="135">
        <f t="shared" si="5"/>
        <v>3176.5006471469374</v>
      </c>
      <c r="I105" s="135">
        <f t="shared" si="6"/>
        <v>508.24010354350997</v>
      </c>
      <c r="J105" s="135">
        <f>IF(B105="","",IF(F105=0,0,F105*Catálogos!$R$1))</f>
        <v>240.61698314714201</v>
      </c>
      <c r="K105" s="135">
        <f>IF(B105="","",IF(Catálogos!$K$10=1,Carátula!$F$17*Catálogos!$R$4,0))</f>
        <v>0</v>
      </c>
      <c r="L105" s="135">
        <f>IF(B105="","",IF(F105=0,0,CAT!H68))</f>
        <v>0</v>
      </c>
      <c r="M105" s="124"/>
      <c r="N105" s="135">
        <f t="shared" si="8"/>
        <v>0</v>
      </c>
      <c r="O105" s="135">
        <f t="shared" si="7"/>
        <v>8208.5536753723427</v>
      </c>
      <c r="P105" s="135">
        <f t="shared" si="1"/>
        <v>396745.10930370196</v>
      </c>
      <c r="Q105" s="136">
        <f t="shared" si="2"/>
        <v>1</v>
      </c>
    </row>
    <row r="106" spans="2:17" x14ac:dyDescent="0.25">
      <c r="B106" s="131">
        <f t="shared" si="3"/>
        <v>63</v>
      </c>
      <c r="C106" s="132">
        <f ca="1">IF(B106="","",'Fecha Pago'!K66)</f>
        <v>47606</v>
      </c>
      <c r="D106" s="133">
        <f>IF(B106="","",'Fecha Pago'!L66)</f>
        <v>30.4</v>
      </c>
      <c r="E106" s="134">
        <f t="shared" si="0"/>
        <v>9.3799999999999994E-2</v>
      </c>
      <c r="F106" s="135">
        <f t="shared" si="4"/>
        <v>396745.10930370196</v>
      </c>
      <c r="G106" s="135">
        <f>IF(B106="","",IF(F106=0,0,MIN(F106,IF(Catálogos!$N$6=1,Prepagos!C65,IF(Catálogos!$N$6=2,Prepagos!D65,IF(Catálogos!$N$6=3,Prepagos!E65,))))))</f>
        <v>4317.1226606769906</v>
      </c>
      <c r="H106" s="135">
        <f t="shared" si="5"/>
        <v>3142.5739280047005</v>
      </c>
      <c r="I106" s="135">
        <f t="shared" si="6"/>
        <v>502.81182848075207</v>
      </c>
      <c r="J106" s="135">
        <f>IF(B106="","",IF(F106=0,0,F106*Catálogos!$R$1))</f>
        <v>238.04706558222117</v>
      </c>
      <c r="K106" s="135">
        <f>IF(B106="","",IF(Catálogos!$K$10=1,Carátula!$F$17*Catálogos!$R$4,0))</f>
        <v>0</v>
      </c>
      <c r="L106" s="135">
        <f>IF(B106="","",IF(F106=0,0,CAT!H69))</f>
        <v>0</v>
      </c>
      <c r="M106" s="124"/>
      <c r="N106" s="135">
        <f t="shared" si="8"/>
        <v>0</v>
      </c>
      <c r="O106" s="135">
        <f t="shared" si="7"/>
        <v>8200.5554827446649</v>
      </c>
      <c r="P106" s="135">
        <f t="shared" si="1"/>
        <v>392427.98664302495</v>
      </c>
      <c r="Q106" s="136">
        <f t="shared" si="2"/>
        <v>1</v>
      </c>
    </row>
    <row r="107" spans="2:17" x14ac:dyDescent="0.25">
      <c r="B107" s="131">
        <f t="shared" si="3"/>
        <v>64</v>
      </c>
      <c r="C107" s="132">
        <f ca="1">IF(B107="","",'Fecha Pago'!K67)</f>
        <v>47637</v>
      </c>
      <c r="D107" s="133">
        <f>IF(B107="","",'Fecha Pago'!L67)</f>
        <v>30.4</v>
      </c>
      <c r="E107" s="134">
        <f t="shared" si="0"/>
        <v>9.3799999999999994E-2</v>
      </c>
      <c r="F107" s="135">
        <f t="shared" si="4"/>
        <v>392427.98664302495</v>
      </c>
      <c r="G107" s="135">
        <f>IF(B107="","",IF(F107=0,0,MIN(F107,IF(Catálogos!$N$6=1,Prepagos!C66,IF(Catálogos!$N$6=2,Prepagos!D66,IF(Catálogos!$N$6=3,Prepagos!E66,))))))</f>
        <v>4351.3181095919172</v>
      </c>
      <c r="H107" s="135">
        <f t="shared" si="5"/>
        <v>3108.3784790897735</v>
      </c>
      <c r="I107" s="135">
        <f t="shared" si="6"/>
        <v>497.34055665436375</v>
      </c>
      <c r="J107" s="135">
        <f>IF(B107="","",IF(F107=0,0,F107*Catálogos!$R$1))</f>
        <v>235.45679198581496</v>
      </c>
      <c r="K107" s="135">
        <f>IF(B107="","",IF(Catálogos!$K$10=1,Carátula!$F$17*Catálogos!$R$4,0))</f>
        <v>0</v>
      </c>
      <c r="L107" s="135">
        <f>IF(B107="","",IF(F107=0,0,CAT!H70))</f>
        <v>0</v>
      </c>
      <c r="M107" s="124"/>
      <c r="N107" s="135">
        <f t="shared" si="8"/>
        <v>0</v>
      </c>
      <c r="O107" s="135">
        <f t="shared" si="7"/>
        <v>8192.4939373218695</v>
      </c>
      <c r="P107" s="135">
        <f t="shared" si="1"/>
        <v>388076.66853343305</v>
      </c>
      <c r="Q107" s="136">
        <f t="shared" si="2"/>
        <v>1</v>
      </c>
    </row>
    <row r="108" spans="2:17" x14ac:dyDescent="0.25">
      <c r="B108" s="131">
        <f t="shared" si="3"/>
        <v>65</v>
      </c>
      <c r="C108" s="132">
        <f ca="1">IF(B108="","",'Fecha Pago'!K68)</f>
        <v>47667</v>
      </c>
      <c r="D108" s="133">
        <f>IF(B108="","",'Fecha Pago'!L68)</f>
        <v>30.4</v>
      </c>
      <c r="E108" s="134">
        <f t="shared" ref="E108:E171" si="9">IF(B108="","",$E$39)</f>
        <v>9.3799999999999994E-2</v>
      </c>
      <c r="F108" s="135">
        <f t="shared" si="4"/>
        <v>388076.66853343305</v>
      </c>
      <c r="G108" s="135">
        <f>IF(B108="","",IF(F108=0,0,MIN(F108,IF(Catálogos!$N$6=1,Prepagos!C67,IF(Catálogos!$N$6=2,Prepagos!D67,IF(Catálogos!$N$6=3,Prepagos!E67,))))))</f>
        <v>4385.7844168582051</v>
      </c>
      <c r="H108" s="135">
        <f t="shared" si="5"/>
        <v>3073.912171823486</v>
      </c>
      <c r="I108" s="135">
        <f t="shared" si="6"/>
        <v>491.82594749175774</v>
      </c>
      <c r="J108" s="135">
        <f>IF(B108="","",IF(F108=0,0,F108*Catálogos!$R$1))</f>
        <v>232.84600112005981</v>
      </c>
      <c r="K108" s="135">
        <f>IF(B108="","",IF(Catálogos!$K$10=1,Carátula!$F$17*Catálogos!$R$4,0))</f>
        <v>0</v>
      </c>
      <c r="L108" s="135">
        <f>IF(B108="","",IF(F108=0,0,CAT!H71))</f>
        <v>0</v>
      </c>
      <c r="M108" s="124"/>
      <c r="N108" s="135">
        <f t="shared" si="8"/>
        <v>0</v>
      </c>
      <c r="O108" s="135">
        <f t="shared" si="7"/>
        <v>8184.3685372935079</v>
      </c>
      <c r="P108" s="135">
        <f t="shared" ref="P108:P171" si="10">IF(B108="","",F108-G108)</f>
        <v>383690.88411657483</v>
      </c>
      <c r="Q108" s="136">
        <f t="shared" ref="Q108:Q171" si="11">IF(OR(B108="",F108=0),"",1)</f>
        <v>1</v>
      </c>
    </row>
    <row r="109" spans="2:17" x14ac:dyDescent="0.25">
      <c r="B109" s="131">
        <f t="shared" ref="B109:B172" si="12">IF(B108=$H$29,"",IF(B108="","",B108+1))</f>
        <v>66</v>
      </c>
      <c r="C109" s="132">
        <f ca="1">IF(B109="","",'Fecha Pago'!K69)</f>
        <v>47698</v>
      </c>
      <c r="D109" s="133">
        <f>IF(B109="","",'Fecha Pago'!L69)</f>
        <v>30.4</v>
      </c>
      <c r="E109" s="134">
        <f t="shared" si="9"/>
        <v>9.3799999999999994E-2</v>
      </c>
      <c r="F109" s="135">
        <f t="shared" ref="F109:F172" si="13">IF(B109="","",P108)</f>
        <v>383690.88411657483</v>
      </c>
      <c r="G109" s="135">
        <f>IF(B109="","",IF(F109=0,0,MIN(F109,IF(Catálogos!$N$6=1,Prepagos!C68,IF(Catálogos!$N$6=2,Prepagos!D68,IF(Catálogos!$N$6=3,Prepagos!E68,))))))</f>
        <v>4420.5237279147586</v>
      </c>
      <c r="H109" s="135">
        <f t="shared" ref="H109:H172" si="14">IF(B109="","",IF(F109=0,0,(E109/360*D109)*F109))</f>
        <v>3039.172860766932</v>
      </c>
      <c r="I109" s="135">
        <f t="shared" ref="I109:I172" si="15">IF(B109="","",IF($I$43&lt;&gt;"",H109*0.16,0))</f>
        <v>486.26765772270915</v>
      </c>
      <c r="J109" s="135">
        <f>IF(B109="","",IF(F109=0,0,F109*Catálogos!$R$1))</f>
        <v>230.21453046994489</v>
      </c>
      <c r="K109" s="135">
        <f>IF(B109="","",IF(Catálogos!$K$10=1,Carátula!$F$17*Catálogos!$R$4,0))</f>
        <v>0</v>
      </c>
      <c r="L109" s="135">
        <f>IF(B109="","",IF(F109=0,0,CAT!H72))</f>
        <v>0</v>
      </c>
      <c r="M109" s="124"/>
      <c r="N109" s="135">
        <f t="shared" si="8"/>
        <v>0</v>
      </c>
      <c r="O109" s="135">
        <f t="shared" ref="O109:O172" si="16">IF(B109="","",G109+H109+I109+J109+K109+L109)</f>
        <v>8176.1787768743452</v>
      </c>
      <c r="P109" s="135">
        <f t="shared" si="10"/>
        <v>379270.36038866005</v>
      </c>
      <c r="Q109" s="136">
        <f t="shared" si="11"/>
        <v>1</v>
      </c>
    </row>
    <row r="110" spans="2:17" x14ac:dyDescent="0.25">
      <c r="B110" s="131">
        <f t="shared" si="12"/>
        <v>67</v>
      </c>
      <c r="C110" s="132">
        <f ca="1">IF(B110="","",'Fecha Pago'!K70)</f>
        <v>47729</v>
      </c>
      <c r="D110" s="133">
        <f>IF(B110="","",'Fecha Pago'!L70)</f>
        <v>30.4</v>
      </c>
      <c r="E110" s="134">
        <f t="shared" si="9"/>
        <v>9.3799999999999994E-2</v>
      </c>
      <c r="F110" s="135">
        <f t="shared" si="13"/>
        <v>379270.36038866005</v>
      </c>
      <c r="G110" s="135">
        <f>IF(B110="","",IF(F110=0,0,MIN(F110,IF(Catálogos!$N$6=1,Prepagos!C69,IF(Catálogos!$N$6=2,Prepagos!D69,IF(Catálogos!$N$6=3,Prepagos!E69,))))))</f>
        <v>4455.5382051942688</v>
      </c>
      <c r="H110" s="135">
        <f t="shared" si="14"/>
        <v>3004.1583834874218</v>
      </c>
      <c r="I110" s="135">
        <f t="shared" si="15"/>
        <v>480.66534135798747</v>
      </c>
      <c r="J110" s="135">
        <f>IF(B110="","",IF(F110=0,0,F110*Catálogos!$R$1))</f>
        <v>227.56221623319601</v>
      </c>
      <c r="K110" s="135">
        <f>IF(B110="","",IF(Catálogos!$K$10=1,Carátula!$F$17*Catálogos!$R$4,0))</f>
        <v>0</v>
      </c>
      <c r="L110" s="135">
        <f>IF(B110="","",IF(F110=0,0,CAT!H73))</f>
        <v>0</v>
      </c>
      <c r="M110" s="124"/>
      <c r="N110" s="135">
        <f t="shared" si="8"/>
        <v>0</v>
      </c>
      <c r="O110" s="135">
        <f t="shared" si="16"/>
        <v>8167.9241462728742</v>
      </c>
      <c r="P110" s="135">
        <f t="shared" si="10"/>
        <v>374814.82218346576</v>
      </c>
      <c r="Q110" s="136">
        <f t="shared" si="11"/>
        <v>1</v>
      </c>
    </row>
    <row r="111" spans="2:17" x14ac:dyDescent="0.25">
      <c r="B111" s="131">
        <f t="shared" si="12"/>
        <v>68</v>
      </c>
      <c r="C111" s="132">
        <f ca="1">IF(B111="","",'Fecha Pago'!K71)</f>
        <v>47759</v>
      </c>
      <c r="D111" s="133">
        <f>IF(B111="","",'Fecha Pago'!L71)</f>
        <v>30.4</v>
      </c>
      <c r="E111" s="134">
        <f t="shared" si="9"/>
        <v>9.3799999999999994E-2</v>
      </c>
      <c r="F111" s="135">
        <f t="shared" si="13"/>
        <v>374814.82218346576</v>
      </c>
      <c r="G111" s="135">
        <f>IF(B111="","",IF(F111=0,0,MIN(F111,IF(Catálogos!$N$6=1,Prepagos!C70,IF(Catálogos!$N$6=2,Prepagos!D70,IF(Catálogos!$N$6=3,Prepagos!E70,))))))</f>
        <v>4490.830028257812</v>
      </c>
      <c r="H111" s="135">
        <f t="shared" si="14"/>
        <v>2968.8665604238786</v>
      </c>
      <c r="I111" s="135">
        <f t="shared" si="15"/>
        <v>475.01864966782057</v>
      </c>
      <c r="J111" s="135">
        <f>IF(B111="","",IF(F111=0,0,F111*Catálogos!$R$1))</f>
        <v>224.88889331007942</v>
      </c>
      <c r="K111" s="135">
        <f>IF(B111="","",IF(Catálogos!$K$10=1,Carátula!$F$17*Catálogos!$R$4,0))</f>
        <v>0</v>
      </c>
      <c r="L111" s="135">
        <f>IF(B111="","",IF(F111=0,0,CAT!H74))</f>
        <v>0</v>
      </c>
      <c r="M111" s="124"/>
      <c r="N111" s="135">
        <f t="shared" si="8"/>
        <v>0</v>
      </c>
      <c r="O111" s="135">
        <f t="shared" si="16"/>
        <v>8159.6041316595911</v>
      </c>
      <c r="P111" s="135">
        <f t="shared" si="10"/>
        <v>370323.99215520796</v>
      </c>
      <c r="Q111" s="136">
        <f t="shared" si="11"/>
        <v>1</v>
      </c>
    </row>
    <row r="112" spans="2:17" x14ac:dyDescent="0.25">
      <c r="B112" s="131">
        <f t="shared" si="12"/>
        <v>69</v>
      </c>
      <c r="C112" s="132">
        <f ca="1">IF(B112="","",'Fecha Pago'!K72)</f>
        <v>47790</v>
      </c>
      <c r="D112" s="133">
        <f>IF(B112="","",'Fecha Pago'!L72)</f>
        <v>30.4</v>
      </c>
      <c r="E112" s="134">
        <f t="shared" si="9"/>
        <v>9.3799999999999994E-2</v>
      </c>
      <c r="F112" s="135">
        <f t="shared" si="13"/>
        <v>370323.99215520796</v>
      </c>
      <c r="G112" s="135">
        <f>IF(B112="","",IF(F112=0,0,MIN(F112,IF(Catálogos!$N$6=1,Prepagos!C71,IF(Catálogos!$N$6=2,Prepagos!D71,IF(Catálogos!$N$6=3,Prepagos!E71,))))))</f>
        <v>4526.4013939305278</v>
      </c>
      <c r="H112" s="135">
        <f t="shared" si="14"/>
        <v>2933.2951947511629</v>
      </c>
      <c r="I112" s="135">
        <f t="shared" si="15"/>
        <v>469.32723116018605</v>
      </c>
      <c r="J112" s="135">
        <f>IF(B112="","",IF(F112=0,0,F112*Catálogos!$R$1))</f>
        <v>222.19439529312476</v>
      </c>
      <c r="K112" s="135">
        <f>IF(B112="","",IF(Catálogos!$K$10=1,Carátula!$F$17*Catálogos!$R$4,0))</f>
        <v>0</v>
      </c>
      <c r="L112" s="135">
        <f>IF(B112="","",IF(F112=0,0,CAT!H75))</f>
        <v>0</v>
      </c>
      <c r="M112" s="124"/>
      <c r="N112" s="135">
        <f t="shared" si="8"/>
        <v>0</v>
      </c>
      <c r="O112" s="135">
        <f t="shared" si="16"/>
        <v>8151.2182151350016</v>
      </c>
      <c r="P112" s="135">
        <f t="shared" si="10"/>
        <v>365797.59076127742</v>
      </c>
      <c r="Q112" s="136">
        <f t="shared" si="11"/>
        <v>1</v>
      </c>
    </row>
    <row r="113" spans="2:17" x14ac:dyDescent="0.25">
      <c r="B113" s="131">
        <f t="shared" si="12"/>
        <v>70</v>
      </c>
      <c r="C113" s="132">
        <f ca="1">IF(B113="","",'Fecha Pago'!K73)</f>
        <v>47820</v>
      </c>
      <c r="D113" s="133">
        <f>IF(B113="","",'Fecha Pago'!L73)</f>
        <v>30.4</v>
      </c>
      <c r="E113" s="134">
        <f t="shared" si="9"/>
        <v>9.3799999999999994E-2</v>
      </c>
      <c r="F113" s="135">
        <f t="shared" si="13"/>
        <v>365797.59076127742</v>
      </c>
      <c r="G113" s="135">
        <f>IF(B113="","",IF(F113=0,0,MIN(F113,IF(Catálogos!$N$6=1,Prepagos!C72,IF(Catálogos!$N$6=2,Prepagos!D72,IF(Catálogos!$N$6=3,Prepagos!E72,))))))</f>
        <v>4562.2545164383637</v>
      </c>
      <c r="H113" s="135">
        <f t="shared" si="14"/>
        <v>2897.4420722433269</v>
      </c>
      <c r="I113" s="135">
        <f t="shared" si="15"/>
        <v>463.5907315589323</v>
      </c>
      <c r="J113" s="135">
        <f>IF(B113="","",IF(F113=0,0,F113*Catálogos!$R$1))</f>
        <v>219.47855445676643</v>
      </c>
      <c r="K113" s="135">
        <f>IF(B113="","",IF(Catálogos!$K$10=1,Carátula!$F$17*Catálogos!$R$4,0))</f>
        <v>0</v>
      </c>
      <c r="L113" s="135">
        <f>IF(B113="","",IF(F113=0,0,CAT!H76))</f>
        <v>0</v>
      </c>
      <c r="M113" s="124"/>
      <c r="N113" s="135">
        <f t="shared" si="8"/>
        <v>0</v>
      </c>
      <c r="O113" s="135">
        <f t="shared" si="16"/>
        <v>8142.7658746973893</v>
      </c>
      <c r="P113" s="135">
        <f t="shared" si="10"/>
        <v>361235.33624483907</v>
      </c>
      <c r="Q113" s="136">
        <f t="shared" si="11"/>
        <v>1</v>
      </c>
    </row>
    <row r="114" spans="2:17" x14ac:dyDescent="0.25">
      <c r="B114" s="131">
        <f t="shared" si="12"/>
        <v>71</v>
      </c>
      <c r="C114" s="132">
        <f ca="1">IF(B114="","",'Fecha Pago'!K74)</f>
        <v>47851</v>
      </c>
      <c r="D114" s="133">
        <f>IF(B114="","",'Fecha Pago'!L74)</f>
        <v>30.4</v>
      </c>
      <c r="E114" s="134">
        <f t="shared" si="9"/>
        <v>9.3799999999999994E-2</v>
      </c>
      <c r="F114" s="135">
        <f t="shared" si="13"/>
        <v>361235.33624483907</v>
      </c>
      <c r="G114" s="135">
        <f>IF(B114="","",IF(F114=0,0,MIN(F114,IF(Catálogos!$N$6=1,Prepagos!C73,IF(Catálogos!$N$6=2,Prepagos!D73,IF(Catálogos!$N$6=3,Prepagos!E73,))))))</f>
        <v>4598.3916275459032</v>
      </c>
      <c r="H114" s="135">
        <f t="shared" si="14"/>
        <v>2861.3049611357874</v>
      </c>
      <c r="I114" s="135">
        <f t="shared" si="15"/>
        <v>457.80879378172597</v>
      </c>
      <c r="J114" s="135">
        <f>IF(B114="","",IF(F114=0,0,F114*Catálogos!$R$1))</f>
        <v>216.74120174690341</v>
      </c>
      <c r="K114" s="135">
        <f>IF(B114="","",IF(Catálogos!$K$10=1,Carátula!$F$17*Catálogos!$R$4,0))</f>
        <v>0</v>
      </c>
      <c r="L114" s="135">
        <f>IF(B114="","",IF(F114=0,0,CAT!H77))</f>
        <v>0</v>
      </c>
      <c r="M114" s="124"/>
      <c r="N114" s="135">
        <f t="shared" si="8"/>
        <v>0</v>
      </c>
      <c r="O114" s="135">
        <f t="shared" si="16"/>
        <v>8134.2465842103202</v>
      </c>
      <c r="P114" s="135">
        <f t="shared" si="10"/>
        <v>356636.94461729319</v>
      </c>
      <c r="Q114" s="136">
        <f t="shared" si="11"/>
        <v>1</v>
      </c>
    </row>
    <row r="115" spans="2:17" x14ac:dyDescent="0.25">
      <c r="B115" s="131">
        <f t="shared" si="12"/>
        <v>72</v>
      </c>
      <c r="C115" s="132">
        <f ca="1">IF(B115="","",'Fecha Pago'!K75)</f>
        <v>47882</v>
      </c>
      <c r="D115" s="133">
        <f>IF(B115="","",'Fecha Pago'!L75)</f>
        <v>30.4</v>
      </c>
      <c r="E115" s="134">
        <f t="shared" si="9"/>
        <v>9.3799999999999994E-2</v>
      </c>
      <c r="F115" s="135">
        <f t="shared" si="13"/>
        <v>356636.94461729319</v>
      </c>
      <c r="G115" s="135">
        <f>IF(B115="","",IF(F115=0,0,MIN(F115,IF(Catálogos!$N$6=1,Prepagos!C74,IF(Catálogos!$N$6=2,Prepagos!D74,IF(Catálogos!$N$6=3,Prepagos!E74,))))))</f>
        <v>4634.8149766952911</v>
      </c>
      <c r="H115" s="135">
        <f t="shared" si="14"/>
        <v>2824.8816119863995</v>
      </c>
      <c r="I115" s="135">
        <f t="shared" si="15"/>
        <v>451.98105791782393</v>
      </c>
      <c r="J115" s="135">
        <f>IF(B115="","",IF(F115=0,0,F115*Catálogos!$R$1))</f>
        <v>213.9821667703759</v>
      </c>
      <c r="K115" s="135">
        <f>IF(B115="","",IF(Catálogos!$K$10=1,Carátula!$F$17*Catálogos!$R$4,0))</f>
        <v>0</v>
      </c>
      <c r="L115" s="135">
        <f>IF(B115="","",IF(F115=0,0,CAT!H78))</f>
        <v>0</v>
      </c>
      <c r="M115" s="124"/>
      <c r="N115" s="135">
        <f t="shared" si="8"/>
        <v>0</v>
      </c>
      <c r="O115" s="135">
        <f t="shared" si="16"/>
        <v>8125.6598133698899</v>
      </c>
      <c r="P115" s="135">
        <f t="shared" si="10"/>
        <v>352002.12964059791</v>
      </c>
      <c r="Q115" s="136">
        <f t="shared" si="11"/>
        <v>1</v>
      </c>
    </row>
    <row r="116" spans="2:17" x14ac:dyDescent="0.25">
      <c r="B116" s="131">
        <f t="shared" si="12"/>
        <v>73</v>
      </c>
      <c r="C116" s="132">
        <f ca="1">IF(B116="","",'Fecha Pago'!K76)</f>
        <v>47910</v>
      </c>
      <c r="D116" s="133">
        <f>IF(B116="","",'Fecha Pago'!L76)</f>
        <v>30.4</v>
      </c>
      <c r="E116" s="134">
        <f t="shared" si="9"/>
        <v>9.3799999999999994E-2</v>
      </c>
      <c r="F116" s="135">
        <f t="shared" si="13"/>
        <v>352002.12964059791</v>
      </c>
      <c r="G116" s="135">
        <f>IF(B116="","",IF(F116=0,0,MIN(F116,IF(Catálogos!$N$6=1,Prepagos!C75,IF(Catálogos!$N$6=2,Prepagos!D75,IF(Catálogos!$N$6=3,Prepagos!E75,))))))</f>
        <v>4671.5268311462523</v>
      </c>
      <c r="H116" s="135">
        <f t="shared" si="14"/>
        <v>2788.1697575354383</v>
      </c>
      <c r="I116" s="135">
        <f t="shared" si="15"/>
        <v>446.10716120567014</v>
      </c>
      <c r="J116" s="135">
        <f>IF(B116="","",IF(F116=0,0,F116*Catálogos!$R$1))</f>
        <v>211.20127778435872</v>
      </c>
      <c r="K116" s="135">
        <f>IF(B116="","",IF(Catálogos!$K$10=1,Carátula!$F$17*Catálogos!$R$4,0))</f>
        <v>0</v>
      </c>
      <c r="L116" s="135">
        <f>IF(B116="","",IF(F116=0,0,CAT!H79))</f>
        <v>0</v>
      </c>
      <c r="M116" s="124"/>
      <c r="N116" s="135">
        <f t="shared" si="8"/>
        <v>0</v>
      </c>
      <c r="O116" s="135">
        <f t="shared" si="16"/>
        <v>8117.0050276717193</v>
      </c>
      <c r="P116" s="135">
        <f t="shared" si="10"/>
        <v>347330.60280945164</v>
      </c>
      <c r="Q116" s="136">
        <f t="shared" si="11"/>
        <v>1</v>
      </c>
    </row>
    <row r="117" spans="2:17" x14ac:dyDescent="0.25">
      <c r="B117" s="131">
        <f t="shared" si="12"/>
        <v>74</v>
      </c>
      <c r="C117" s="132">
        <f ca="1">IF(B117="","",'Fecha Pago'!K77)</f>
        <v>47941</v>
      </c>
      <c r="D117" s="133">
        <f>IF(B117="","",'Fecha Pago'!L77)</f>
        <v>30.4</v>
      </c>
      <c r="E117" s="134">
        <f t="shared" si="9"/>
        <v>9.3799999999999994E-2</v>
      </c>
      <c r="F117" s="135">
        <f t="shared" si="13"/>
        <v>347330.60280945164</v>
      </c>
      <c r="G117" s="135">
        <f>IF(B117="","",IF(F117=0,0,MIN(F117,IF(Catálogos!$N$6=1,Prepagos!C76,IF(Catálogos!$N$6=2,Prepagos!D76,IF(Catálogos!$N$6=3,Prepagos!E76,))))))</f>
        <v>4708.5294761172254</v>
      </c>
      <c r="H117" s="135">
        <f t="shared" si="14"/>
        <v>2751.1671125644652</v>
      </c>
      <c r="I117" s="135">
        <f t="shared" si="15"/>
        <v>440.18673801031446</v>
      </c>
      <c r="J117" s="135">
        <f>IF(B117="","",IF(F117=0,0,F117*Catálogos!$R$1))</f>
        <v>208.39836168567098</v>
      </c>
      <c r="K117" s="135">
        <f>IF(B117="","",IF(Catálogos!$K$10=1,Carátula!$F$17*Catálogos!$R$4,0))</f>
        <v>0</v>
      </c>
      <c r="L117" s="135">
        <f>IF(B117="","",IF(F117=0,0,CAT!H80))</f>
        <v>0</v>
      </c>
      <c r="M117" s="124"/>
      <c r="N117" s="135">
        <f t="shared" si="8"/>
        <v>0</v>
      </c>
      <c r="O117" s="135">
        <f t="shared" si="16"/>
        <v>8108.2816883776759</v>
      </c>
      <c r="P117" s="135">
        <f t="shared" si="10"/>
        <v>342622.07333333441</v>
      </c>
      <c r="Q117" s="136">
        <f t="shared" si="11"/>
        <v>1</v>
      </c>
    </row>
    <row r="118" spans="2:17" x14ac:dyDescent="0.25">
      <c r="B118" s="131">
        <f t="shared" si="12"/>
        <v>75</v>
      </c>
      <c r="C118" s="132">
        <f ca="1">IF(B118="","",'Fecha Pago'!K78)</f>
        <v>47971</v>
      </c>
      <c r="D118" s="133">
        <f>IF(B118="","",'Fecha Pago'!L78)</f>
        <v>30.4</v>
      </c>
      <c r="E118" s="134">
        <f t="shared" si="9"/>
        <v>9.3799999999999994E-2</v>
      </c>
      <c r="F118" s="135">
        <f t="shared" si="13"/>
        <v>342622.07333333441</v>
      </c>
      <c r="G118" s="135">
        <f>IF(B118="","",IF(F118=0,0,MIN(F118,IF(Catálogos!$N$6=1,Prepagos!C77,IF(Catálogos!$N$6=2,Prepagos!D77,IF(Catálogos!$N$6=3,Prepagos!E77,))))))</f>
        <v>4745.8252149276086</v>
      </c>
      <c r="H118" s="135">
        <f t="shared" si="14"/>
        <v>2713.8713737540825</v>
      </c>
      <c r="I118" s="135">
        <f t="shared" si="15"/>
        <v>434.21941980065321</v>
      </c>
      <c r="J118" s="135">
        <f>IF(B118="","",IF(F118=0,0,F118*Catálogos!$R$1))</f>
        <v>205.57324400000064</v>
      </c>
      <c r="K118" s="135">
        <f>IF(B118="","",IF(Catálogos!$K$10=1,Carátula!$F$17*Catálogos!$R$4,0))</f>
        <v>0</v>
      </c>
      <c r="L118" s="135">
        <f>IF(B118="","",IF(F118=0,0,CAT!H81))</f>
        <v>0</v>
      </c>
      <c r="M118" s="124"/>
      <c r="N118" s="135">
        <f t="shared" si="8"/>
        <v>0</v>
      </c>
      <c r="O118" s="135">
        <f t="shared" si="16"/>
        <v>8099.4892524823445</v>
      </c>
      <c r="P118" s="135">
        <f t="shared" si="10"/>
        <v>337876.2481184068</v>
      </c>
      <c r="Q118" s="136">
        <f t="shared" si="11"/>
        <v>1</v>
      </c>
    </row>
    <row r="119" spans="2:17" x14ac:dyDescent="0.25">
      <c r="B119" s="131">
        <f t="shared" si="12"/>
        <v>76</v>
      </c>
      <c r="C119" s="132">
        <f ca="1">IF(B119="","",'Fecha Pago'!K79)</f>
        <v>48002</v>
      </c>
      <c r="D119" s="133">
        <f>IF(B119="","",'Fecha Pago'!L79)</f>
        <v>30.4</v>
      </c>
      <c r="E119" s="134">
        <f t="shared" si="9"/>
        <v>9.3799999999999994E-2</v>
      </c>
      <c r="F119" s="135">
        <f t="shared" si="13"/>
        <v>337876.2481184068</v>
      </c>
      <c r="G119" s="135">
        <f>IF(B119="","",IF(F119=0,0,MIN(F119,IF(Catálogos!$N$6=1,Prepagos!C78,IF(Catálogos!$N$6=2,Prepagos!D78,IF(Catálogos!$N$6=3,Prepagos!E78,))))))</f>
        <v>4783.4163691411368</v>
      </c>
      <c r="H119" s="135">
        <f t="shared" si="14"/>
        <v>2676.2802195405538</v>
      </c>
      <c r="I119" s="135">
        <f t="shared" si="15"/>
        <v>428.2048351264886</v>
      </c>
      <c r="J119" s="135">
        <f>IF(B119="","",IF(F119=0,0,F119*Catálogos!$R$1))</f>
        <v>202.72574887104406</v>
      </c>
      <c r="K119" s="135">
        <f>IF(B119="","",IF(Catálogos!$K$10=1,Carátula!$F$17*Catálogos!$R$4,0))</f>
        <v>0</v>
      </c>
      <c r="L119" s="135">
        <f>IF(B119="","",IF(F119=0,0,CAT!H82))</f>
        <v>0</v>
      </c>
      <c r="M119" s="124"/>
      <c r="N119" s="135">
        <f t="shared" si="8"/>
        <v>0</v>
      </c>
      <c r="O119" s="135">
        <f t="shared" si="16"/>
        <v>8090.6271726792229</v>
      </c>
      <c r="P119" s="135">
        <f t="shared" si="10"/>
        <v>333092.83174926566</v>
      </c>
      <c r="Q119" s="136">
        <f t="shared" si="11"/>
        <v>1</v>
      </c>
    </row>
    <row r="120" spans="2:17" x14ac:dyDescent="0.25">
      <c r="B120" s="131">
        <f t="shared" si="12"/>
        <v>77</v>
      </c>
      <c r="C120" s="132">
        <f ca="1">IF(B120="","",'Fecha Pago'!K80)</f>
        <v>48032</v>
      </c>
      <c r="D120" s="133">
        <f>IF(B120="","",'Fecha Pago'!L80)</f>
        <v>30.4</v>
      </c>
      <c r="E120" s="134">
        <f t="shared" si="9"/>
        <v>9.3799999999999994E-2</v>
      </c>
      <c r="F120" s="135">
        <f t="shared" si="13"/>
        <v>333092.83174926566</v>
      </c>
      <c r="G120" s="135">
        <f>IF(B120="","",IF(F120=0,0,MIN(F120,IF(Catálogos!$N$6=1,Prepagos!C79,IF(Catálogos!$N$6=2,Prepagos!D79,IF(Catálogos!$N$6=3,Prepagos!E79,))))))</f>
        <v>4821.3052787103961</v>
      </c>
      <c r="H120" s="135">
        <f t="shared" si="14"/>
        <v>2638.3913099712945</v>
      </c>
      <c r="I120" s="135">
        <f t="shared" si="15"/>
        <v>422.14260959540712</v>
      </c>
      <c r="J120" s="135">
        <f>IF(B120="","",IF(F120=0,0,F120*Catálogos!$R$1))</f>
        <v>199.85569904955938</v>
      </c>
      <c r="K120" s="135">
        <f>IF(B120="","",IF(Catálogos!$K$10=1,Carátula!$F$17*Catálogos!$R$4,0))</f>
        <v>0</v>
      </c>
      <c r="L120" s="135">
        <f>IF(B120="","",IF(F120=0,0,CAT!H83))</f>
        <v>0</v>
      </c>
      <c r="M120" s="124"/>
      <c r="N120" s="135">
        <f t="shared" si="8"/>
        <v>0</v>
      </c>
      <c r="O120" s="135">
        <f t="shared" si="16"/>
        <v>8081.6948973266572</v>
      </c>
      <c r="P120" s="135">
        <f t="shared" si="10"/>
        <v>328271.52647055528</v>
      </c>
      <c r="Q120" s="136">
        <f t="shared" si="11"/>
        <v>1</v>
      </c>
    </row>
    <row r="121" spans="2:17" x14ac:dyDescent="0.25">
      <c r="B121" s="131">
        <f t="shared" si="12"/>
        <v>78</v>
      </c>
      <c r="C121" s="132">
        <f ca="1">IF(B121="","",'Fecha Pago'!K81)</f>
        <v>48063</v>
      </c>
      <c r="D121" s="133">
        <f>IF(B121="","",'Fecha Pago'!L81)</f>
        <v>30.4</v>
      </c>
      <c r="E121" s="134">
        <f t="shared" si="9"/>
        <v>9.3799999999999994E-2</v>
      </c>
      <c r="F121" s="135">
        <f t="shared" si="13"/>
        <v>328271.52647055528</v>
      </c>
      <c r="G121" s="135">
        <f>IF(B121="","",IF(F121=0,0,MIN(F121,IF(Catálogos!$N$6=1,Prepagos!C80,IF(Catálogos!$N$6=2,Prepagos!D80,IF(Catálogos!$N$6=3,Prepagos!E80,))))))</f>
        <v>4859.4943021224744</v>
      </c>
      <c r="H121" s="135">
        <f t="shared" si="14"/>
        <v>2600.2022865592162</v>
      </c>
      <c r="I121" s="135">
        <f t="shared" si="15"/>
        <v>416.03236584947462</v>
      </c>
      <c r="J121" s="135">
        <f>IF(B121="","",IF(F121=0,0,F121*Catálogos!$R$1))</f>
        <v>196.96291588233316</v>
      </c>
      <c r="K121" s="135">
        <f>IF(B121="","",IF(Catálogos!$K$10=1,Carátula!$F$17*Catálogos!$R$4,0))</f>
        <v>0</v>
      </c>
      <c r="L121" s="135">
        <f>IF(B121="","",IF(F121=0,0,CAT!H84))</f>
        <v>0</v>
      </c>
      <c r="M121" s="124"/>
      <c r="N121" s="135">
        <f t="shared" si="8"/>
        <v>0</v>
      </c>
      <c r="O121" s="135">
        <f t="shared" si="16"/>
        <v>8072.6918704134987</v>
      </c>
      <c r="P121" s="135">
        <f t="shared" si="10"/>
        <v>323412.03216843284</v>
      </c>
      <c r="Q121" s="136">
        <f t="shared" si="11"/>
        <v>1</v>
      </c>
    </row>
    <row r="122" spans="2:17" x14ac:dyDescent="0.25">
      <c r="B122" s="131">
        <f t="shared" si="12"/>
        <v>79</v>
      </c>
      <c r="C122" s="132">
        <f ca="1">IF(B122="","",'Fecha Pago'!K82)</f>
        <v>48094</v>
      </c>
      <c r="D122" s="133">
        <f>IF(B122="","",'Fecha Pago'!L82)</f>
        <v>30.4</v>
      </c>
      <c r="E122" s="134">
        <f t="shared" si="9"/>
        <v>9.3799999999999994E-2</v>
      </c>
      <c r="F122" s="135">
        <f t="shared" si="13"/>
        <v>323412.03216843284</v>
      </c>
      <c r="G122" s="135">
        <f>IF(B122="","",IF(F122=0,0,MIN(F122,IF(Catálogos!$N$6=1,Prepagos!C81,IF(Catálogos!$N$6=2,Prepagos!D81,IF(Catálogos!$N$6=3,Prepagos!E81,))))))</f>
        <v>4897.9858165457754</v>
      </c>
      <c r="H122" s="135">
        <f t="shared" si="14"/>
        <v>2561.7107721359157</v>
      </c>
      <c r="I122" s="135">
        <f t="shared" si="15"/>
        <v>409.87372354174653</v>
      </c>
      <c r="J122" s="135">
        <f>IF(B122="","",IF(F122=0,0,F122*Catálogos!$R$1))</f>
        <v>194.0472193010597</v>
      </c>
      <c r="K122" s="135">
        <f>IF(B122="","",IF(Catálogos!$K$10=1,Carátula!$F$17*Catálogos!$R$4,0))</f>
        <v>0</v>
      </c>
      <c r="L122" s="135">
        <f>IF(B122="","",IF(F122=0,0,CAT!H85))</f>
        <v>0</v>
      </c>
      <c r="M122" s="124"/>
      <c r="N122" s="135">
        <f t="shared" si="8"/>
        <v>0</v>
      </c>
      <c r="O122" s="135">
        <f t="shared" si="16"/>
        <v>8063.6175315244973</v>
      </c>
      <c r="P122" s="135">
        <f t="shared" si="10"/>
        <v>318514.04635188705</v>
      </c>
      <c r="Q122" s="136">
        <f t="shared" si="11"/>
        <v>1</v>
      </c>
    </row>
    <row r="123" spans="2:17" x14ac:dyDescent="0.25">
      <c r="B123" s="131">
        <f t="shared" si="12"/>
        <v>80</v>
      </c>
      <c r="C123" s="132">
        <f ca="1">IF(B123="","",'Fecha Pago'!K83)</f>
        <v>48124</v>
      </c>
      <c r="D123" s="133">
        <f>IF(B123="","",'Fecha Pago'!L83)</f>
        <v>30.4</v>
      </c>
      <c r="E123" s="134">
        <f t="shared" si="9"/>
        <v>9.3799999999999994E-2</v>
      </c>
      <c r="F123" s="135">
        <f t="shared" si="13"/>
        <v>318514.04635188705</v>
      </c>
      <c r="G123" s="135">
        <f>IF(B123="","",IF(F123=0,0,MIN(F123,IF(Catálogos!$N$6=1,Prepagos!C82,IF(Catálogos!$N$6=2,Prepagos!D82,IF(Catálogos!$N$6=3,Prepagos!E82,))))))</f>
        <v>4936.7822179779878</v>
      </c>
      <c r="H123" s="135">
        <f t="shared" si="14"/>
        <v>2522.9143707037028</v>
      </c>
      <c r="I123" s="135">
        <f t="shared" si="15"/>
        <v>403.66629931259246</v>
      </c>
      <c r="J123" s="135">
        <f>IF(B123="","",IF(F123=0,0,F123*Catálogos!$R$1))</f>
        <v>191.1084278111322</v>
      </c>
      <c r="K123" s="135">
        <f>IF(B123="","",IF(Catálogos!$K$10=1,Carátula!$F$17*Catálogos!$R$4,0))</f>
        <v>0</v>
      </c>
      <c r="L123" s="135">
        <f>IF(B123="","",IF(F123=0,0,CAT!H86))</f>
        <v>0</v>
      </c>
      <c r="M123" s="124"/>
      <c r="N123" s="135">
        <f t="shared" si="8"/>
        <v>0</v>
      </c>
      <c r="O123" s="135">
        <f t="shared" si="16"/>
        <v>8054.4713158054155</v>
      </c>
      <c r="P123" s="135">
        <f t="shared" si="10"/>
        <v>313577.26413390908</v>
      </c>
      <c r="Q123" s="136">
        <f t="shared" si="11"/>
        <v>1</v>
      </c>
    </row>
    <row r="124" spans="2:17" x14ac:dyDescent="0.25">
      <c r="B124" s="131">
        <f t="shared" si="12"/>
        <v>81</v>
      </c>
      <c r="C124" s="132">
        <f ca="1">IF(B124="","",'Fecha Pago'!K84)</f>
        <v>48155</v>
      </c>
      <c r="D124" s="133">
        <f>IF(B124="","",'Fecha Pago'!L84)</f>
        <v>30.4</v>
      </c>
      <c r="E124" s="134">
        <f t="shared" si="9"/>
        <v>9.3799999999999994E-2</v>
      </c>
      <c r="F124" s="135">
        <f t="shared" si="13"/>
        <v>313577.26413390908</v>
      </c>
      <c r="G124" s="135">
        <f>IF(B124="","",IF(F124=0,0,MIN(F124,IF(Catálogos!$N$6=1,Prepagos!C83,IF(Catálogos!$N$6=2,Prepagos!D83,IF(Catálogos!$N$6=3,Prepagos!E83,))))))</f>
        <v>4975.8859213952346</v>
      </c>
      <c r="H124" s="135">
        <f t="shared" si="14"/>
        <v>2483.8106672864565</v>
      </c>
      <c r="I124" s="135">
        <f t="shared" si="15"/>
        <v>397.40970676583305</v>
      </c>
      <c r="J124" s="135">
        <f>IF(B124="","",IF(F124=0,0,F124*Catálogos!$R$1))</f>
        <v>188.14635848034544</v>
      </c>
      <c r="K124" s="135">
        <f>IF(B124="","",IF(Catálogos!$K$10=1,Carátula!$F$17*Catálogos!$R$4,0))</f>
        <v>0</v>
      </c>
      <c r="L124" s="135">
        <f>IF(B124="","",IF(F124=0,0,CAT!H87))</f>
        <v>0</v>
      </c>
      <c r="M124" s="124"/>
      <c r="N124" s="135">
        <f t="shared" si="8"/>
        <v>0</v>
      </c>
      <c r="O124" s="135">
        <f t="shared" si="16"/>
        <v>8045.2526539278688</v>
      </c>
      <c r="P124" s="135">
        <f t="shared" si="10"/>
        <v>308601.37821251387</v>
      </c>
      <c r="Q124" s="136">
        <f t="shared" si="11"/>
        <v>1</v>
      </c>
    </row>
    <row r="125" spans="2:17" x14ac:dyDescent="0.25">
      <c r="B125" s="131">
        <f t="shared" si="12"/>
        <v>82</v>
      </c>
      <c r="C125" s="132">
        <f ca="1">IF(B125="","",'Fecha Pago'!K85)</f>
        <v>48185</v>
      </c>
      <c r="D125" s="133">
        <f>IF(B125="","",'Fecha Pago'!L85)</f>
        <v>30.4</v>
      </c>
      <c r="E125" s="134">
        <f t="shared" si="9"/>
        <v>9.3799999999999994E-2</v>
      </c>
      <c r="F125" s="135">
        <f t="shared" si="13"/>
        <v>308601.37821251387</v>
      </c>
      <c r="G125" s="135">
        <f>IF(B125="","",IF(F125=0,0,MIN(F125,IF(Catálogos!$N$6=1,Prepagos!C84,IF(Catálogos!$N$6=2,Prepagos!D84,IF(Catálogos!$N$6=3,Prepagos!E84,))))))</f>
        <v>5015.2993609023924</v>
      </c>
      <c r="H125" s="135">
        <f t="shared" si="14"/>
        <v>2444.3972277792986</v>
      </c>
      <c r="I125" s="135">
        <f t="shared" si="15"/>
        <v>391.1035564446878</v>
      </c>
      <c r="J125" s="135">
        <f>IF(B125="","",IF(F125=0,0,F125*Catálogos!$R$1))</f>
        <v>185.16082692750831</v>
      </c>
      <c r="K125" s="135">
        <f>IF(B125="","",IF(Catálogos!$K$10=1,Carátula!$F$17*Catálogos!$R$4,0))</f>
        <v>0</v>
      </c>
      <c r="L125" s="135">
        <f>IF(B125="","",IF(F125=0,0,CAT!H88))</f>
        <v>0</v>
      </c>
      <c r="M125" s="124"/>
      <c r="N125" s="135">
        <f t="shared" si="8"/>
        <v>0</v>
      </c>
      <c r="O125" s="135">
        <f t="shared" si="16"/>
        <v>8035.9609720538865</v>
      </c>
      <c r="P125" s="135">
        <f t="shared" si="10"/>
        <v>303586.07885161147</v>
      </c>
      <c r="Q125" s="136">
        <f t="shared" si="11"/>
        <v>1</v>
      </c>
    </row>
    <row r="126" spans="2:17" x14ac:dyDescent="0.25">
      <c r="B126" s="131">
        <f t="shared" si="12"/>
        <v>83</v>
      </c>
      <c r="C126" s="132">
        <f ca="1">IF(B126="","",'Fecha Pago'!K86)</f>
        <v>48216</v>
      </c>
      <c r="D126" s="133">
        <f>IF(B126="","",'Fecha Pago'!L86)</f>
        <v>30.4</v>
      </c>
      <c r="E126" s="134">
        <f t="shared" si="9"/>
        <v>9.3799999999999994E-2</v>
      </c>
      <c r="F126" s="135">
        <f t="shared" si="13"/>
        <v>303586.07885161147</v>
      </c>
      <c r="G126" s="135">
        <f>IF(B126="","",IF(F126=0,0,MIN(F126,IF(Catálogos!$N$6=1,Prepagos!C85,IF(Catálogos!$N$6=2,Prepagos!D85,IF(Catálogos!$N$6=3,Prepagos!E85,))))))</f>
        <v>5055.0249898846159</v>
      </c>
      <c r="H126" s="135">
        <f t="shared" si="14"/>
        <v>2404.6715987970751</v>
      </c>
      <c r="I126" s="135">
        <f t="shared" si="15"/>
        <v>384.74745580753205</v>
      </c>
      <c r="J126" s="135">
        <f>IF(B126="","",IF(F126=0,0,F126*Catálogos!$R$1))</f>
        <v>182.15164731096687</v>
      </c>
      <c r="K126" s="135">
        <f>IF(B126="","",IF(Catálogos!$K$10=1,Carátula!$F$17*Catálogos!$R$4,0))</f>
        <v>0</v>
      </c>
      <c r="L126" s="135">
        <f>IF(B126="","",IF(F126=0,0,CAT!H89))</f>
        <v>0</v>
      </c>
      <c r="M126" s="124"/>
      <c r="N126" s="135">
        <f t="shared" si="8"/>
        <v>0</v>
      </c>
      <c r="O126" s="135">
        <f t="shared" si="16"/>
        <v>8026.5956918001893</v>
      </c>
      <c r="P126" s="135">
        <f t="shared" si="10"/>
        <v>298531.05386172683</v>
      </c>
      <c r="Q126" s="136">
        <f t="shared" si="11"/>
        <v>1</v>
      </c>
    </row>
    <row r="127" spans="2:17" x14ac:dyDescent="0.25">
      <c r="B127" s="131">
        <f t="shared" si="12"/>
        <v>84</v>
      </c>
      <c r="C127" s="132">
        <f ca="1">IF(B127="","",'Fecha Pago'!K87)</f>
        <v>48247</v>
      </c>
      <c r="D127" s="133">
        <f>IF(B127="","",'Fecha Pago'!L87)</f>
        <v>30.4</v>
      </c>
      <c r="E127" s="134">
        <f t="shared" si="9"/>
        <v>9.3799999999999994E-2</v>
      </c>
      <c r="F127" s="135">
        <f t="shared" si="13"/>
        <v>298531.05386172683</v>
      </c>
      <c r="G127" s="135">
        <f>IF(B127="","",IF(F127=0,0,MIN(F127,IF(Catálogos!$N$6=1,Prepagos!C86,IF(Catálogos!$N$6=2,Prepagos!D86,IF(Catálogos!$N$6=3,Prepagos!E86,))))))</f>
        <v>5095.0652811600485</v>
      </c>
      <c r="H127" s="135">
        <f t="shared" si="14"/>
        <v>2364.6313075216426</v>
      </c>
      <c r="I127" s="135">
        <f t="shared" si="15"/>
        <v>378.34100920346282</v>
      </c>
      <c r="J127" s="135">
        <f>IF(B127="","",IF(F127=0,0,F127*Catálogos!$R$1))</f>
        <v>179.11863231703609</v>
      </c>
      <c r="K127" s="135">
        <f>IF(B127="","",IF(Catálogos!$K$10=1,Carátula!$F$17*Catálogos!$R$4,0))</f>
        <v>0</v>
      </c>
      <c r="L127" s="135">
        <f>IF(B127="","",IF(F127=0,0,CAT!H90))</f>
        <v>0</v>
      </c>
      <c r="M127" s="124"/>
      <c r="N127" s="135">
        <f t="shared" si="8"/>
        <v>0</v>
      </c>
      <c r="O127" s="135">
        <f t="shared" si="16"/>
        <v>8017.1562302021894</v>
      </c>
      <c r="P127" s="135">
        <f t="shared" si="10"/>
        <v>293435.98858056677</v>
      </c>
      <c r="Q127" s="136">
        <f t="shared" si="11"/>
        <v>1</v>
      </c>
    </row>
    <row r="128" spans="2:17" x14ac:dyDescent="0.25">
      <c r="B128" s="131">
        <f t="shared" si="12"/>
        <v>85</v>
      </c>
      <c r="C128" s="132">
        <f ca="1">IF(B128="","",'Fecha Pago'!K88)</f>
        <v>48276</v>
      </c>
      <c r="D128" s="133">
        <f>IF(B128="","",'Fecha Pago'!L88)</f>
        <v>30.4</v>
      </c>
      <c r="E128" s="134">
        <f t="shared" si="9"/>
        <v>9.3799999999999994E-2</v>
      </c>
      <c r="F128" s="135">
        <f t="shared" si="13"/>
        <v>293435.98858056677</v>
      </c>
      <c r="G128" s="135">
        <f>IF(B128="","",IF(F128=0,0,MIN(F128,IF(Catálogos!$N$6=1,Prepagos!C87,IF(Catálogos!$N$6=2,Prepagos!D87,IF(Catálogos!$N$6=3,Prepagos!E87,))))))</f>
        <v>5135.4227271337522</v>
      </c>
      <c r="H128" s="135">
        <f t="shared" si="14"/>
        <v>2324.2738615479384</v>
      </c>
      <c r="I128" s="135">
        <f t="shared" si="15"/>
        <v>371.88381784767017</v>
      </c>
      <c r="J128" s="135">
        <f>IF(B128="","",IF(F128=0,0,F128*Catálogos!$R$1))</f>
        <v>176.06159314834005</v>
      </c>
      <c r="K128" s="135">
        <f>IF(B128="","",IF(Catálogos!$K$10=1,Carátula!$F$17*Catálogos!$R$4,0))</f>
        <v>0</v>
      </c>
      <c r="L128" s="135">
        <f>IF(B128="","",IF(F128=0,0,CAT!H91))</f>
        <v>0</v>
      </c>
      <c r="M128" s="124"/>
      <c r="N128" s="135">
        <f t="shared" si="8"/>
        <v>0</v>
      </c>
      <c r="O128" s="135">
        <f t="shared" si="16"/>
        <v>8007.6419996777004</v>
      </c>
      <c r="P128" s="135">
        <f t="shared" si="10"/>
        <v>288300.56585343304</v>
      </c>
      <c r="Q128" s="136">
        <f t="shared" si="11"/>
        <v>1</v>
      </c>
    </row>
    <row r="129" spans="2:17" x14ac:dyDescent="0.25">
      <c r="B129" s="131">
        <f t="shared" si="12"/>
        <v>86</v>
      </c>
      <c r="C129" s="132">
        <f ca="1">IF(B129="","",'Fecha Pago'!K89)</f>
        <v>48307</v>
      </c>
      <c r="D129" s="133">
        <f>IF(B129="","",'Fecha Pago'!L89)</f>
        <v>30.4</v>
      </c>
      <c r="E129" s="134">
        <f t="shared" si="9"/>
        <v>9.3799999999999994E-2</v>
      </c>
      <c r="F129" s="135">
        <f t="shared" si="13"/>
        <v>288300.56585343304</v>
      </c>
      <c r="G129" s="135">
        <f>IF(B129="","",IF(F129=0,0,MIN(F129,IF(Catálogos!$N$6=1,Prepagos!C88,IF(Catálogos!$N$6=2,Prepagos!D88,IF(Catálogos!$N$6=3,Prepagos!E88,))))))</f>
        <v>5176.0998399528535</v>
      </c>
      <c r="H129" s="135">
        <f t="shared" si="14"/>
        <v>2283.5967487288372</v>
      </c>
      <c r="I129" s="135">
        <f t="shared" si="15"/>
        <v>365.37547979661394</v>
      </c>
      <c r="J129" s="135">
        <f>IF(B129="","",IF(F129=0,0,F129*Catálogos!$R$1))</f>
        <v>172.9803395120598</v>
      </c>
      <c r="K129" s="135">
        <f>IF(B129="","",IF(Catálogos!$K$10=1,Carátula!$F$17*Catálogos!$R$4,0))</f>
        <v>0</v>
      </c>
      <c r="L129" s="135">
        <f>IF(B129="","",IF(F129=0,0,CAT!H92))</f>
        <v>0</v>
      </c>
      <c r="M129" s="124"/>
      <c r="N129" s="135">
        <f t="shared" si="8"/>
        <v>0</v>
      </c>
      <c r="O129" s="135">
        <f t="shared" si="16"/>
        <v>7998.0524079903644</v>
      </c>
      <c r="P129" s="135">
        <f t="shared" si="10"/>
        <v>283124.46601348021</v>
      </c>
      <c r="Q129" s="136">
        <f t="shared" si="11"/>
        <v>1</v>
      </c>
    </row>
    <row r="130" spans="2:17" x14ac:dyDescent="0.25">
      <c r="B130" s="131">
        <f t="shared" si="12"/>
        <v>87</v>
      </c>
      <c r="C130" s="132">
        <f ca="1">IF(B130="","",'Fecha Pago'!K90)</f>
        <v>48337</v>
      </c>
      <c r="D130" s="133">
        <f>IF(B130="","",'Fecha Pago'!L90)</f>
        <v>30.4</v>
      </c>
      <c r="E130" s="134">
        <f t="shared" si="9"/>
        <v>9.3799999999999994E-2</v>
      </c>
      <c r="F130" s="135">
        <f t="shared" si="13"/>
        <v>283124.46601348021</v>
      </c>
      <c r="G130" s="135">
        <f>IF(B130="","",IF(F130=0,0,MIN(F130,IF(Catálogos!$N$6=1,Prepagos!C89,IF(Catálogos!$N$6=2,Prepagos!D89,IF(Catálogos!$N$6=3,Prepagos!E89,))))))</f>
        <v>5217.0991516629156</v>
      </c>
      <c r="H130" s="135">
        <f t="shared" si="14"/>
        <v>2242.5974370187751</v>
      </c>
      <c r="I130" s="135">
        <f t="shared" si="15"/>
        <v>358.81558992300404</v>
      </c>
      <c r="J130" s="135">
        <f>IF(B130="","",IF(F130=0,0,F130*Catálogos!$R$1))</f>
        <v>169.87467960808812</v>
      </c>
      <c r="K130" s="135">
        <f>IF(B130="","",IF(Catálogos!$K$10=1,Carátula!$F$17*Catálogos!$R$4,0))</f>
        <v>0</v>
      </c>
      <c r="L130" s="135">
        <f>IF(B130="","",IF(F130=0,0,CAT!H93))</f>
        <v>0</v>
      </c>
      <c r="M130" s="124"/>
      <c r="N130" s="135">
        <f t="shared" si="8"/>
        <v>0</v>
      </c>
      <c r="O130" s="135">
        <f t="shared" si="16"/>
        <v>7988.3868582127825</v>
      </c>
      <c r="P130" s="135">
        <f t="shared" si="10"/>
        <v>277907.36686181731</v>
      </c>
      <c r="Q130" s="136">
        <f t="shared" si="11"/>
        <v>1</v>
      </c>
    </row>
    <row r="131" spans="2:17" x14ac:dyDescent="0.25">
      <c r="B131" s="131">
        <f t="shared" si="12"/>
        <v>88</v>
      </c>
      <c r="C131" s="132">
        <f ca="1">IF(B131="","",'Fecha Pago'!K91)</f>
        <v>48368</v>
      </c>
      <c r="D131" s="133">
        <f>IF(B131="","",'Fecha Pago'!L91)</f>
        <v>30.4</v>
      </c>
      <c r="E131" s="134">
        <f t="shared" si="9"/>
        <v>9.3799999999999994E-2</v>
      </c>
      <c r="F131" s="135">
        <f t="shared" si="13"/>
        <v>277907.36686181731</v>
      </c>
      <c r="G131" s="135">
        <f>IF(B131="","",IF(F131=0,0,MIN(F131,IF(Catálogos!$N$6=1,Prepagos!C90,IF(Catálogos!$N$6=2,Prepagos!D90,IF(Catálogos!$N$6=3,Prepagos!E90,))))))</f>
        <v>5258.4232143655536</v>
      </c>
      <c r="H131" s="135">
        <f t="shared" si="14"/>
        <v>2201.2733743161371</v>
      </c>
      <c r="I131" s="135">
        <f t="shared" si="15"/>
        <v>352.20373989058191</v>
      </c>
      <c r="J131" s="135">
        <f>IF(B131="","",IF(F131=0,0,F131*Catálogos!$R$1))</f>
        <v>166.74442011709039</v>
      </c>
      <c r="K131" s="135">
        <f>IF(B131="","",IF(Catálogos!$K$10=1,Carátula!$F$17*Catálogos!$R$4,0))</f>
        <v>0</v>
      </c>
      <c r="L131" s="135">
        <f>IF(B131="","",IF(F131=0,0,CAT!H94))</f>
        <v>0</v>
      </c>
      <c r="M131" s="124"/>
      <c r="N131" s="135">
        <f t="shared" si="8"/>
        <v>0</v>
      </c>
      <c r="O131" s="135">
        <f t="shared" si="16"/>
        <v>7978.644748689363</v>
      </c>
      <c r="P131" s="135">
        <f t="shared" si="10"/>
        <v>272648.94364745176</v>
      </c>
      <c r="Q131" s="136">
        <f t="shared" si="11"/>
        <v>1</v>
      </c>
    </row>
    <row r="132" spans="2:17" x14ac:dyDescent="0.25">
      <c r="B132" s="131">
        <f t="shared" si="12"/>
        <v>89</v>
      </c>
      <c r="C132" s="132">
        <f ca="1">IF(B132="","",'Fecha Pago'!K92)</f>
        <v>48398</v>
      </c>
      <c r="D132" s="133">
        <f>IF(B132="","",'Fecha Pago'!L92)</f>
        <v>30.4</v>
      </c>
      <c r="E132" s="134">
        <f t="shared" si="9"/>
        <v>9.3799999999999994E-2</v>
      </c>
      <c r="F132" s="135">
        <f t="shared" si="13"/>
        <v>272648.94364745176</v>
      </c>
      <c r="G132" s="135">
        <f>IF(B132="","",IF(F132=0,0,MIN(F132,IF(Catálogos!$N$6=1,Prepagos!C91,IF(Catálogos!$N$6=2,Prepagos!D91,IF(Catálogos!$N$6=3,Prepagos!E91,))))))</f>
        <v>5300.0746003772974</v>
      </c>
      <c r="H132" s="135">
        <f t="shared" si="14"/>
        <v>2159.6219883043932</v>
      </c>
      <c r="I132" s="135">
        <f t="shared" si="15"/>
        <v>345.53951812870292</v>
      </c>
      <c r="J132" s="135">
        <f>IF(B132="","",IF(F132=0,0,F132*Catálogos!$R$1))</f>
        <v>163.58936618847105</v>
      </c>
      <c r="K132" s="135">
        <f>IF(B132="","",IF(Catálogos!$K$10=1,Carátula!$F$17*Catálogos!$R$4,0))</f>
        <v>0</v>
      </c>
      <c r="L132" s="135">
        <f>IF(B132="","",IF(F132=0,0,CAT!H95))</f>
        <v>0</v>
      </c>
      <c r="M132" s="124"/>
      <c r="N132" s="135">
        <f t="shared" si="8"/>
        <v>0</v>
      </c>
      <c r="O132" s="135">
        <f t="shared" si="16"/>
        <v>7968.8254729988648</v>
      </c>
      <c r="P132" s="135">
        <f t="shared" si="10"/>
        <v>267348.86904707446</v>
      </c>
      <c r="Q132" s="136">
        <f t="shared" si="11"/>
        <v>1</v>
      </c>
    </row>
    <row r="133" spans="2:17" x14ac:dyDescent="0.25">
      <c r="B133" s="131">
        <f t="shared" si="12"/>
        <v>90</v>
      </c>
      <c r="C133" s="132">
        <f ca="1">IF(B133="","",'Fecha Pago'!K93)</f>
        <v>48429</v>
      </c>
      <c r="D133" s="133">
        <f>IF(B133="","",'Fecha Pago'!L93)</f>
        <v>30.4</v>
      </c>
      <c r="E133" s="134">
        <f t="shared" si="9"/>
        <v>9.3799999999999994E-2</v>
      </c>
      <c r="F133" s="135">
        <f t="shared" si="13"/>
        <v>267348.86904707446</v>
      </c>
      <c r="G133" s="135">
        <f>IF(B133="","",IF(F133=0,0,MIN(F133,IF(Catálogos!$N$6=1,Prepagos!C92,IF(Catálogos!$N$6=2,Prepagos!D92,IF(Catálogos!$N$6=3,Prepagos!E92,))))))</f>
        <v>5342.0559023897076</v>
      </c>
      <c r="H133" s="135">
        <f t="shared" si="14"/>
        <v>2117.6406862919825</v>
      </c>
      <c r="I133" s="135">
        <f t="shared" si="15"/>
        <v>338.82250980671722</v>
      </c>
      <c r="J133" s="135">
        <f>IF(B133="","",IF(F133=0,0,F133*Catálogos!$R$1))</f>
        <v>160.40932142824465</v>
      </c>
      <c r="K133" s="135">
        <f>IF(B133="","",IF(Catálogos!$K$10=1,Carátula!$F$17*Catálogos!$R$4,0))</f>
        <v>0</v>
      </c>
      <c r="L133" s="135">
        <f>IF(B133="","",IF(F133=0,0,CAT!H96))</f>
        <v>0</v>
      </c>
      <c r="M133" s="124"/>
      <c r="N133" s="135">
        <f t="shared" si="8"/>
        <v>0</v>
      </c>
      <c r="O133" s="135">
        <f t="shared" si="16"/>
        <v>7958.9284199166523</v>
      </c>
      <c r="P133" s="135">
        <f t="shared" si="10"/>
        <v>262006.81314468477</v>
      </c>
      <c r="Q133" s="136">
        <f t="shared" si="11"/>
        <v>1</v>
      </c>
    </row>
    <row r="134" spans="2:17" x14ac:dyDescent="0.25">
      <c r="B134" s="131">
        <f t="shared" si="12"/>
        <v>91</v>
      </c>
      <c r="C134" s="132">
        <f ca="1">IF(B134="","",'Fecha Pago'!K94)</f>
        <v>48460</v>
      </c>
      <c r="D134" s="133">
        <f>IF(B134="","",'Fecha Pago'!L94)</f>
        <v>30.4</v>
      </c>
      <c r="E134" s="134">
        <f t="shared" si="9"/>
        <v>9.3799999999999994E-2</v>
      </c>
      <c r="F134" s="135">
        <f t="shared" si="13"/>
        <v>262006.81314468477</v>
      </c>
      <c r="G134" s="135">
        <f>IF(B134="","",IF(F134=0,0,MIN(F134,IF(Catálogos!$N$6=1,Prepagos!C93,IF(Catálogos!$N$6=2,Prepagos!D93,IF(Catálogos!$N$6=3,Prepagos!E93,))))))</f>
        <v>5384.3697336307696</v>
      </c>
      <c r="H134" s="135">
        <f t="shared" si="14"/>
        <v>2075.326855050921</v>
      </c>
      <c r="I134" s="135">
        <f t="shared" si="15"/>
        <v>332.05229680814739</v>
      </c>
      <c r="J134" s="135">
        <f>IF(B134="","",IF(F134=0,0,F134*Catálogos!$R$1))</f>
        <v>157.20408788681084</v>
      </c>
      <c r="K134" s="135">
        <f>IF(B134="","",IF(Catálogos!$K$10=1,Carátula!$F$17*Catálogos!$R$4,0))</f>
        <v>0</v>
      </c>
      <c r="L134" s="135">
        <f>IF(B134="","",IF(F134=0,0,CAT!H97))</f>
        <v>0</v>
      </c>
      <c r="M134" s="124"/>
      <c r="N134" s="135">
        <f t="shared" si="8"/>
        <v>0</v>
      </c>
      <c r="O134" s="135">
        <f t="shared" si="16"/>
        <v>7948.9529733766494</v>
      </c>
      <c r="P134" s="135">
        <f t="shared" si="10"/>
        <v>256622.443411054</v>
      </c>
      <c r="Q134" s="136">
        <f t="shared" si="11"/>
        <v>1</v>
      </c>
    </row>
    <row r="135" spans="2:17" x14ac:dyDescent="0.25">
      <c r="B135" s="131">
        <f t="shared" si="12"/>
        <v>92</v>
      </c>
      <c r="C135" s="132">
        <f ca="1">IF(B135="","",'Fecha Pago'!K95)</f>
        <v>48490</v>
      </c>
      <c r="D135" s="133">
        <f>IF(B135="","",'Fecha Pago'!L95)</f>
        <v>30.4</v>
      </c>
      <c r="E135" s="134">
        <f t="shared" si="9"/>
        <v>9.3799999999999994E-2</v>
      </c>
      <c r="F135" s="135">
        <f t="shared" si="13"/>
        <v>256622.443411054</v>
      </c>
      <c r="G135" s="135">
        <f>IF(B135="","",IF(F135=0,0,MIN(F135,IF(Catálogos!$N$6=1,Prepagos!C94,IF(Catálogos!$N$6=2,Prepagos!D94,IF(Catálogos!$N$6=3,Prepagos!E94,))))))</f>
        <v>5427.018728027555</v>
      </c>
      <c r="H135" s="135">
        <f t="shared" si="14"/>
        <v>2032.6778606541352</v>
      </c>
      <c r="I135" s="135">
        <f t="shared" si="15"/>
        <v>325.22845770466165</v>
      </c>
      <c r="J135" s="135">
        <f>IF(B135="","",IF(F135=0,0,F135*Catálogos!$R$1))</f>
        <v>153.97346604663238</v>
      </c>
      <c r="K135" s="135">
        <f>IF(B135="","",IF(Catálogos!$K$10=1,Carátula!$F$17*Catálogos!$R$4,0))</f>
        <v>0</v>
      </c>
      <c r="L135" s="135">
        <f>IF(B135="","",IF(F135=0,0,CAT!H98))</f>
        <v>0</v>
      </c>
      <c r="M135" s="124"/>
      <c r="N135" s="135">
        <f t="shared" si="8"/>
        <v>0</v>
      </c>
      <c r="O135" s="135">
        <f t="shared" si="16"/>
        <v>7938.8985124329838</v>
      </c>
      <c r="P135" s="135">
        <f t="shared" si="10"/>
        <v>251195.42468302645</v>
      </c>
      <c r="Q135" s="136">
        <f t="shared" si="11"/>
        <v>1</v>
      </c>
    </row>
    <row r="136" spans="2:17" x14ac:dyDescent="0.25">
      <c r="B136" s="131">
        <f t="shared" si="12"/>
        <v>93</v>
      </c>
      <c r="C136" s="132">
        <f ca="1">IF(B136="","",'Fecha Pago'!K96)</f>
        <v>48521</v>
      </c>
      <c r="D136" s="133">
        <f>IF(B136="","",'Fecha Pago'!L96)</f>
        <v>30.4</v>
      </c>
      <c r="E136" s="134">
        <f t="shared" si="9"/>
        <v>9.3799999999999994E-2</v>
      </c>
      <c r="F136" s="135">
        <f t="shared" si="13"/>
        <v>251195.42468302645</v>
      </c>
      <c r="G136" s="135">
        <f>IF(B136="","",IF(F136=0,0,MIN(F136,IF(Catálogos!$N$6=1,Prepagos!C95,IF(Catálogos!$N$6=2,Prepagos!D95,IF(Catálogos!$N$6=3,Prepagos!E95,))))))</f>
        <v>5470.0055403701808</v>
      </c>
      <c r="H136" s="135">
        <f t="shared" si="14"/>
        <v>1989.6910483115098</v>
      </c>
      <c r="I136" s="135">
        <f t="shared" si="15"/>
        <v>318.3505677298416</v>
      </c>
      <c r="J136" s="135">
        <f>IF(B136="","",IF(F136=0,0,F136*Catálogos!$R$1))</f>
        <v>150.71725480981584</v>
      </c>
      <c r="K136" s="135">
        <f>IF(B136="","",IF(Catálogos!$K$10=1,Carátula!$F$17*Catálogos!$R$4,0))</f>
        <v>0</v>
      </c>
      <c r="L136" s="135">
        <f>IF(B136="","",IF(F136=0,0,CAT!H99))</f>
        <v>0</v>
      </c>
      <c r="M136" s="124"/>
      <c r="N136" s="135">
        <f t="shared" si="8"/>
        <v>0</v>
      </c>
      <c r="O136" s="135">
        <f t="shared" si="16"/>
        <v>7928.7644112213484</v>
      </c>
      <c r="P136" s="135">
        <f t="shared" si="10"/>
        <v>245725.41914265626</v>
      </c>
      <c r="Q136" s="136">
        <f t="shared" si="11"/>
        <v>1</v>
      </c>
    </row>
    <row r="137" spans="2:17" x14ac:dyDescent="0.25">
      <c r="B137" s="131">
        <f t="shared" si="12"/>
        <v>94</v>
      </c>
      <c r="C137" s="132">
        <f ca="1">IF(B137="","",'Fecha Pago'!K97)</f>
        <v>48551</v>
      </c>
      <c r="D137" s="133">
        <f>IF(B137="","",'Fecha Pago'!L97)</f>
        <v>30.4</v>
      </c>
      <c r="E137" s="134">
        <f t="shared" si="9"/>
        <v>9.3799999999999994E-2</v>
      </c>
      <c r="F137" s="135">
        <f t="shared" si="13"/>
        <v>245725.41914265626</v>
      </c>
      <c r="G137" s="135">
        <f>IF(B137="","",IF(F137=0,0,MIN(F137,IF(Catálogos!$N$6=1,Prepagos!C96,IF(Catálogos!$N$6=2,Prepagos!D96,IF(Catálogos!$N$6=3,Prepagos!E96,))))))</f>
        <v>5513.3328464770593</v>
      </c>
      <c r="H137" s="135">
        <f t="shared" si="14"/>
        <v>1946.3637422046311</v>
      </c>
      <c r="I137" s="135">
        <f t="shared" si="15"/>
        <v>311.41819875274098</v>
      </c>
      <c r="J137" s="135">
        <f>IF(B137="","",IF(F137=0,0,F137*Catálogos!$R$1))</f>
        <v>147.43525148559374</v>
      </c>
      <c r="K137" s="135">
        <f>IF(B137="","",IF(Catálogos!$K$10=1,Carátula!$F$17*Catálogos!$R$4,0))</f>
        <v>0</v>
      </c>
      <c r="L137" s="135">
        <f>IF(B137="","",IF(F137=0,0,CAT!H100))</f>
        <v>0</v>
      </c>
      <c r="M137" s="124"/>
      <c r="N137" s="135">
        <f t="shared" si="8"/>
        <v>0</v>
      </c>
      <c r="O137" s="135">
        <f t="shared" si="16"/>
        <v>7918.5500389200251</v>
      </c>
      <c r="P137" s="135">
        <f t="shared" si="10"/>
        <v>240212.08629617922</v>
      </c>
      <c r="Q137" s="136">
        <f t="shared" si="11"/>
        <v>1</v>
      </c>
    </row>
    <row r="138" spans="2:17" x14ac:dyDescent="0.25">
      <c r="B138" s="131">
        <f t="shared" si="12"/>
        <v>95</v>
      </c>
      <c r="C138" s="132">
        <f ca="1">IF(B138="","",'Fecha Pago'!K98)</f>
        <v>48582</v>
      </c>
      <c r="D138" s="133">
        <f>IF(B138="","",'Fecha Pago'!L98)</f>
        <v>30.4</v>
      </c>
      <c r="E138" s="134">
        <f t="shared" si="9"/>
        <v>9.3799999999999994E-2</v>
      </c>
      <c r="F138" s="135">
        <f t="shared" si="13"/>
        <v>240212.08629617922</v>
      </c>
      <c r="G138" s="135">
        <f>IF(B138="","",IF(F138=0,0,MIN(F138,IF(Catálogos!$N$6=1,Prepagos!C97,IF(Catálogos!$N$6=2,Prepagos!D97,IF(Catálogos!$N$6=3,Prepagos!E97,))))))</f>
        <v>5557.0033433614662</v>
      </c>
      <c r="H138" s="135">
        <f t="shared" si="14"/>
        <v>1902.6932453202248</v>
      </c>
      <c r="I138" s="135">
        <f t="shared" si="15"/>
        <v>304.43091925123599</v>
      </c>
      <c r="J138" s="135">
        <f>IF(B138="","",IF(F138=0,0,F138*Catálogos!$R$1))</f>
        <v>144.12725177770753</v>
      </c>
      <c r="K138" s="135">
        <f>IF(B138="","",IF(Catálogos!$K$10=1,Carátula!$F$17*Catálogos!$R$4,0))</f>
        <v>0</v>
      </c>
      <c r="L138" s="135">
        <f>IF(B138="","",IF(F138=0,0,CAT!H101))</f>
        <v>0</v>
      </c>
      <c r="M138" s="124"/>
      <c r="N138" s="135">
        <f t="shared" si="8"/>
        <v>0</v>
      </c>
      <c r="O138" s="135">
        <f t="shared" si="16"/>
        <v>7908.2547597106341</v>
      </c>
      <c r="P138" s="135">
        <f t="shared" si="10"/>
        <v>234655.08295281776</v>
      </c>
      <c r="Q138" s="136">
        <f t="shared" si="11"/>
        <v>1</v>
      </c>
    </row>
    <row r="139" spans="2:17" x14ac:dyDescent="0.25">
      <c r="B139" s="131">
        <f t="shared" si="12"/>
        <v>96</v>
      </c>
      <c r="C139" s="132">
        <f ca="1">IF(B139="","",'Fecha Pago'!K99)</f>
        <v>48613</v>
      </c>
      <c r="D139" s="133">
        <f>IF(B139="","",'Fecha Pago'!L99)</f>
        <v>30.4</v>
      </c>
      <c r="E139" s="134">
        <f t="shared" si="9"/>
        <v>9.3799999999999994E-2</v>
      </c>
      <c r="F139" s="135">
        <f t="shared" si="13"/>
        <v>234655.08295281776</v>
      </c>
      <c r="G139" s="135">
        <f>IF(B139="","",IF(F139=0,0,MIN(F139,IF(Catálogos!$N$6=1,Prepagos!C98,IF(Catálogos!$N$6=2,Prepagos!D98,IF(Catálogos!$N$6=3,Prepagos!E98,))))))</f>
        <v>5601.0197493994165</v>
      </c>
      <c r="H139" s="135">
        <f t="shared" si="14"/>
        <v>1858.6768392822746</v>
      </c>
      <c r="I139" s="135">
        <f t="shared" si="15"/>
        <v>297.38829428516397</v>
      </c>
      <c r="J139" s="135">
        <f>IF(B139="","",IF(F139=0,0,F139*Catálogos!$R$1))</f>
        <v>140.79304977169065</v>
      </c>
      <c r="K139" s="135">
        <f>IF(B139="","",IF(Catálogos!$K$10=1,Carátula!$F$17*Catálogos!$R$4,0))</f>
        <v>0</v>
      </c>
      <c r="L139" s="135">
        <f>IF(B139="","",IF(F139=0,0,CAT!H102))</f>
        <v>0</v>
      </c>
      <c r="M139" s="124"/>
      <c r="N139" s="135">
        <f t="shared" si="8"/>
        <v>0</v>
      </c>
      <c r="O139" s="135">
        <f t="shared" si="16"/>
        <v>7897.8779327385455</v>
      </c>
      <c r="P139" s="135">
        <f t="shared" si="10"/>
        <v>229054.06320341834</v>
      </c>
      <c r="Q139" s="136">
        <f t="shared" si="11"/>
        <v>1</v>
      </c>
    </row>
    <row r="140" spans="2:17" x14ac:dyDescent="0.25">
      <c r="B140" s="131">
        <f t="shared" si="12"/>
        <v>97</v>
      </c>
      <c r="C140" s="132">
        <f ca="1">IF(B140="","",'Fecha Pago'!K100)</f>
        <v>48641</v>
      </c>
      <c r="D140" s="133">
        <f>IF(B140="","",'Fecha Pago'!L100)</f>
        <v>30.4</v>
      </c>
      <c r="E140" s="134">
        <f t="shared" si="9"/>
        <v>9.3799999999999994E-2</v>
      </c>
      <c r="F140" s="135">
        <f t="shared" si="13"/>
        <v>229054.06320341834</v>
      </c>
      <c r="G140" s="135">
        <f>IF(B140="","",IF(F140=0,0,MIN(F140,IF(Catálogos!$N$6=1,Prepagos!C99,IF(Catálogos!$N$6=2,Prepagos!D99,IF(Catálogos!$N$6=3,Prepagos!E99,))))))</f>
        <v>5645.3848044988808</v>
      </c>
      <c r="H140" s="135">
        <f t="shared" si="14"/>
        <v>1814.3117841828096</v>
      </c>
      <c r="I140" s="135">
        <f t="shared" si="15"/>
        <v>290.28988546924955</v>
      </c>
      <c r="J140" s="135">
        <f>IF(B140="","",IF(F140=0,0,F140*Catálogos!$R$1))</f>
        <v>137.43243792205098</v>
      </c>
      <c r="K140" s="135">
        <f>IF(B140="","",IF(Catálogos!$K$10=1,Carátula!$F$17*Catálogos!$R$4,0))</f>
        <v>0</v>
      </c>
      <c r="L140" s="135">
        <f>IF(B140="","",IF(F140=0,0,CAT!H103))</f>
        <v>0</v>
      </c>
      <c r="M140" s="124"/>
      <c r="N140" s="135">
        <f t="shared" si="8"/>
        <v>0</v>
      </c>
      <c r="O140" s="135">
        <f t="shared" si="16"/>
        <v>7887.4189120729907</v>
      </c>
      <c r="P140" s="135">
        <f t="shared" si="10"/>
        <v>223408.67839891947</v>
      </c>
      <c r="Q140" s="136">
        <f t="shared" si="11"/>
        <v>1</v>
      </c>
    </row>
    <row r="141" spans="2:17" x14ac:dyDescent="0.25">
      <c r="B141" s="131">
        <f t="shared" si="12"/>
        <v>98</v>
      </c>
      <c r="C141" s="132">
        <f ca="1">IF(B141="","",'Fecha Pago'!K101)</f>
        <v>48672</v>
      </c>
      <c r="D141" s="133">
        <f>IF(B141="","",'Fecha Pago'!L101)</f>
        <v>30.4</v>
      </c>
      <c r="E141" s="134">
        <f t="shared" si="9"/>
        <v>9.3799999999999994E-2</v>
      </c>
      <c r="F141" s="135">
        <f t="shared" si="13"/>
        <v>223408.67839891947</v>
      </c>
      <c r="G141" s="135">
        <f>IF(B141="","",IF(F141=0,0,MIN(F141,IF(Catálogos!$N$6=1,Prepagos!C100,IF(Catálogos!$N$6=2,Prepagos!D100,IF(Catálogos!$N$6=3,Prepagos!E100,))))))</f>
        <v>5690.1012702703383</v>
      </c>
      <c r="H141" s="135">
        <f t="shared" si="14"/>
        <v>1769.5953184113523</v>
      </c>
      <c r="I141" s="135">
        <f t="shared" si="15"/>
        <v>283.13525094581638</v>
      </c>
      <c r="J141" s="135">
        <f>IF(B141="","",IF(F141=0,0,F141*Catálogos!$R$1))</f>
        <v>134.04520703935168</v>
      </c>
      <c r="K141" s="135">
        <f>IF(B141="","",IF(Catálogos!$K$10=1,Carátula!$F$17*Catálogos!$R$4,0))</f>
        <v>0</v>
      </c>
      <c r="L141" s="135">
        <f>IF(B141="","",IF(F141=0,0,CAT!H104))</f>
        <v>0</v>
      </c>
      <c r="M141" s="124"/>
      <c r="N141" s="135">
        <f t="shared" si="8"/>
        <v>0</v>
      </c>
      <c r="O141" s="135">
        <f t="shared" si="16"/>
        <v>7876.8770466668593</v>
      </c>
      <c r="P141" s="135">
        <f t="shared" si="10"/>
        <v>217718.57712864914</v>
      </c>
      <c r="Q141" s="136">
        <f t="shared" si="11"/>
        <v>1</v>
      </c>
    </row>
    <row r="142" spans="2:17" x14ac:dyDescent="0.25">
      <c r="B142" s="131">
        <f t="shared" si="12"/>
        <v>99</v>
      </c>
      <c r="C142" s="132">
        <f ca="1">IF(B142="","",'Fecha Pago'!K102)</f>
        <v>48702</v>
      </c>
      <c r="D142" s="133">
        <f>IF(B142="","",'Fecha Pago'!L102)</f>
        <v>30.4</v>
      </c>
      <c r="E142" s="134">
        <f t="shared" si="9"/>
        <v>9.3799999999999994E-2</v>
      </c>
      <c r="F142" s="135">
        <f t="shared" si="13"/>
        <v>217718.57712864914</v>
      </c>
      <c r="G142" s="135">
        <f>IF(B142="","",IF(F142=0,0,MIN(F142,IF(Catálogos!$N$6=1,Prepagos!C101,IF(Catálogos!$N$6=2,Prepagos!D101,IF(Catálogos!$N$6=3,Prepagos!E101,))))))</f>
        <v>5735.171930198675</v>
      </c>
      <c r="H142" s="135">
        <f t="shared" si="14"/>
        <v>1724.5246584830154</v>
      </c>
      <c r="I142" s="135">
        <f t="shared" si="15"/>
        <v>275.92394535728249</v>
      </c>
      <c r="J142" s="135">
        <f>IF(B142="","",IF(F142=0,0,F142*Catálogos!$R$1))</f>
        <v>130.63114627718946</v>
      </c>
      <c r="K142" s="135">
        <f>IF(B142="","",IF(Catálogos!$K$10=1,Carátula!$F$17*Catálogos!$R$4,0))</f>
        <v>0</v>
      </c>
      <c r="L142" s="135">
        <f>IF(B142="","",IF(F142=0,0,CAT!H105))</f>
        <v>0</v>
      </c>
      <c r="M142" s="124"/>
      <c r="N142" s="135">
        <f t="shared" si="8"/>
        <v>0</v>
      </c>
      <c r="O142" s="135">
        <f t="shared" si="16"/>
        <v>7866.2516803161625</v>
      </c>
      <c r="P142" s="135">
        <f t="shared" si="10"/>
        <v>211983.40519845046</v>
      </c>
      <c r="Q142" s="136">
        <f t="shared" si="11"/>
        <v>1</v>
      </c>
    </row>
    <row r="143" spans="2:17" x14ac:dyDescent="0.25">
      <c r="B143" s="131">
        <f t="shared" si="12"/>
        <v>100</v>
      </c>
      <c r="C143" s="132">
        <f ca="1">IF(B143="","",'Fecha Pago'!K103)</f>
        <v>48733</v>
      </c>
      <c r="D143" s="133">
        <f>IF(B143="","",'Fecha Pago'!L103)</f>
        <v>30.4</v>
      </c>
      <c r="E143" s="134">
        <f t="shared" si="9"/>
        <v>9.3799999999999994E-2</v>
      </c>
      <c r="F143" s="135">
        <f t="shared" si="13"/>
        <v>211983.40519845046</v>
      </c>
      <c r="G143" s="135">
        <f>IF(B143="","",IF(F143=0,0,MIN(F143,IF(Catálogos!$N$6=1,Prepagos!C102,IF(Catálogos!$N$6=2,Prepagos!D102,IF(Catálogos!$N$6=3,Prepagos!E102,))))))</f>
        <v>5780.5995898164529</v>
      </c>
      <c r="H143" s="135">
        <f t="shared" si="14"/>
        <v>1679.0969988652373</v>
      </c>
      <c r="I143" s="135">
        <f t="shared" si="15"/>
        <v>268.65551981843799</v>
      </c>
      <c r="J143" s="135">
        <f>IF(B143="","",IF(F143=0,0,F143*Catálogos!$R$1))</f>
        <v>127.19004311907027</v>
      </c>
      <c r="K143" s="135">
        <f>IF(B143="","",IF(Catálogos!$K$10=1,Carátula!$F$17*Catálogos!$R$4,0))</f>
        <v>0</v>
      </c>
      <c r="L143" s="135">
        <f>IF(B143="","",IF(F143=0,0,CAT!H106))</f>
        <v>0</v>
      </c>
      <c r="M143" s="124"/>
      <c r="N143" s="135">
        <f t="shared" si="8"/>
        <v>0</v>
      </c>
      <c r="O143" s="135">
        <f t="shared" si="16"/>
        <v>7855.5421516191991</v>
      </c>
      <c r="P143" s="135">
        <f t="shared" si="10"/>
        <v>206202.80560863402</v>
      </c>
      <c r="Q143" s="136">
        <f t="shared" si="11"/>
        <v>1</v>
      </c>
    </row>
    <row r="144" spans="2:17" x14ac:dyDescent="0.25">
      <c r="B144" s="131">
        <f t="shared" si="12"/>
        <v>101</v>
      </c>
      <c r="C144" s="132">
        <f ca="1">IF(B144="","",'Fecha Pago'!K104)</f>
        <v>48763</v>
      </c>
      <c r="D144" s="133">
        <f>IF(B144="","",'Fecha Pago'!L104)</f>
        <v>30.4</v>
      </c>
      <c r="E144" s="134">
        <f t="shared" si="9"/>
        <v>9.3799999999999994E-2</v>
      </c>
      <c r="F144" s="135">
        <f t="shared" si="13"/>
        <v>206202.80560863402</v>
      </c>
      <c r="G144" s="135">
        <f>IF(B144="","",IF(F144=0,0,MIN(F144,IF(Catálogos!$N$6=1,Prepagos!C103,IF(Catálogos!$N$6=2,Prepagos!D103,IF(Catálogos!$N$6=3,Prepagos!E103,))))))</f>
        <v>5826.3870768785455</v>
      </c>
      <c r="H144" s="135">
        <f t="shared" si="14"/>
        <v>1633.3095118031447</v>
      </c>
      <c r="I144" s="135">
        <f t="shared" si="15"/>
        <v>261.32952188850317</v>
      </c>
      <c r="J144" s="135">
        <f>IF(B144="","",IF(F144=0,0,F144*Catálogos!$R$1))</f>
        <v>123.7216833651804</v>
      </c>
      <c r="K144" s="135">
        <f>IF(B144="","",IF(Catálogos!$K$10=1,Carátula!$F$17*Catálogos!$R$4,0))</f>
        <v>0</v>
      </c>
      <c r="L144" s="135">
        <f>IF(B144="","",IF(F144=0,0,CAT!H107))</f>
        <v>0</v>
      </c>
      <c r="M144" s="124"/>
      <c r="N144" s="135">
        <f t="shared" ref="N144:N207" si="17">IF(B144="","",0)</f>
        <v>0</v>
      </c>
      <c r="O144" s="135">
        <f t="shared" si="16"/>
        <v>7844.7477939353739</v>
      </c>
      <c r="P144" s="135">
        <f t="shared" si="10"/>
        <v>200376.41853175548</v>
      </c>
      <c r="Q144" s="136">
        <f t="shared" si="11"/>
        <v>1</v>
      </c>
    </row>
    <row r="145" spans="2:17" x14ac:dyDescent="0.25">
      <c r="B145" s="131">
        <f t="shared" si="12"/>
        <v>102</v>
      </c>
      <c r="C145" s="132">
        <f ca="1">IF(B145="","",'Fecha Pago'!K105)</f>
        <v>48794</v>
      </c>
      <c r="D145" s="133">
        <f>IF(B145="","",'Fecha Pago'!L105)</f>
        <v>30.4</v>
      </c>
      <c r="E145" s="134">
        <f t="shared" si="9"/>
        <v>9.3799999999999994E-2</v>
      </c>
      <c r="F145" s="135">
        <f t="shared" si="13"/>
        <v>200376.41853175548</v>
      </c>
      <c r="G145" s="135">
        <f>IF(B145="","",IF(F145=0,0,MIN(F145,IF(Catálogos!$N$6=1,Prepagos!C104,IF(Catálogos!$N$6=2,Prepagos!D104,IF(Catálogos!$N$6=3,Prepagos!E104,))))))</f>
        <v>5872.5372415381589</v>
      </c>
      <c r="H145" s="135">
        <f t="shared" si="14"/>
        <v>1587.1593471435317</v>
      </c>
      <c r="I145" s="135">
        <f t="shared" si="15"/>
        <v>253.94549554296509</v>
      </c>
      <c r="J145" s="135">
        <f>IF(B145="","",IF(F145=0,0,F145*Catálogos!$R$1))</f>
        <v>120.22585111905327</v>
      </c>
      <c r="K145" s="135">
        <f>IF(B145="","",IF(Catálogos!$K$10=1,Carátula!$F$17*Catálogos!$R$4,0))</f>
        <v>0</v>
      </c>
      <c r="L145" s="135">
        <f>IF(B145="","",IF(F145=0,0,CAT!H108))</f>
        <v>0</v>
      </c>
      <c r="M145" s="124"/>
      <c r="N145" s="135">
        <f t="shared" si="17"/>
        <v>0</v>
      </c>
      <c r="O145" s="135">
        <f t="shared" si="16"/>
        <v>7833.8679353437083</v>
      </c>
      <c r="P145" s="135">
        <f t="shared" si="10"/>
        <v>194503.88129021731</v>
      </c>
      <c r="Q145" s="136">
        <f t="shared" si="11"/>
        <v>1</v>
      </c>
    </row>
    <row r="146" spans="2:17" x14ac:dyDescent="0.25">
      <c r="B146" s="131">
        <f t="shared" si="12"/>
        <v>103</v>
      </c>
      <c r="C146" s="132">
        <f ca="1">IF(B146="","",'Fecha Pago'!K106)</f>
        <v>48825</v>
      </c>
      <c r="D146" s="133">
        <f>IF(B146="","",'Fecha Pago'!L106)</f>
        <v>30.4</v>
      </c>
      <c r="E146" s="134">
        <f t="shared" si="9"/>
        <v>9.3799999999999994E-2</v>
      </c>
      <c r="F146" s="135">
        <f t="shared" si="13"/>
        <v>194503.88129021731</v>
      </c>
      <c r="G146" s="135">
        <f>IF(B146="","",IF(F146=0,0,MIN(F146,IF(Catálogos!$N$6=1,Prepagos!C105,IF(Catálogos!$N$6=2,Prepagos!D105,IF(Catálogos!$N$6=3,Prepagos!E105,))))))</f>
        <v>5919.052956524245</v>
      </c>
      <c r="H146" s="135">
        <f t="shared" si="14"/>
        <v>1540.6436321574456</v>
      </c>
      <c r="I146" s="135">
        <f t="shared" si="15"/>
        <v>246.50298114519131</v>
      </c>
      <c r="J146" s="135">
        <f>IF(B146="","",IF(F146=0,0,F146*Catálogos!$R$1))</f>
        <v>116.70232877413038</v>
      </c>
      <c r="K146" s="135">
        <f>IF(B146="","",IF(Catálogos!$K$10=1,Carátula!$F$17*Catálogos!$R$4,0))</f>
        <v>0</v>
      </c>
      <c r="L146" s="135">
        <f>IF(B146="","",IF(F146=0,0,CAT!H109))</f>
        <v>0</v>
      </c>
      <c r="M146" s="124"/>
      <c r="N146" s="135">
        <f t="shared" si="17"/>
        <v>0</v>
      </c>
      <c r="O146" s="135">
        <f t="shared" si="16"/>
        <v>7822.9018986010124</v>
      </c>
      <c r="P146" s="135">
        <f t="shared" si="10"/>
        <v>188584.82833369306</v>
      </c>
      <c r="Q146" s="136">
        <f t="shared" si="11"/>
        <v>1</v>
      </c>
    </row>
    <row r="147" spans="2:17" x14ac:dyDescent="0.25">
      <c r="B147" s="131">
        <f t="shared" si="12"/>
        <v>104</v>
      </c>
      <c r="C147" s="132">
        <f ca="1">IF(B147="","",'Fecha Pago'!K107)</f>
        <v>48855</v>
      </c>
      <c r="D147" s="133">
        <f>IF(B147="","",'Fecha Pago'!L107)</f>
        <v>30.4</v>
      </c>
      <c r="E147" s="134">
        <f t="shared" si="9"/>
        <v>9.3799999999999994E-2</v>
      </c>
      <c r="F147" s="135">
        <f t="shared" si="13"/>
        <v>188584.82833369306</v>
      </c>
      <c r="G147" s="135">
        <f>IF(B147="","",IF(F147=0,0,MIN(F147,IF(Catálogos!$N$6=1,Prepagos!C106,IF(Catálogos!$N$6=2,Prepagos!D106,IF(Catálogos!$N$6=3,Prepagos!E106,))))))</f>
        <v>5965.9371173203226</v>
      </c>
      <c r="H147" s="135">
        <f t="shared" si="14"/>
        <v>1493.7594713613678</v>
      </c>
      <c r="I147" s="135">
        <f t="shared" si="15"/>
        <v>239.00151541781884</v>
      </c>
      <c r="J147" s="135">
        <f>IF(B147="","",IF(F147=0,0,F147*Catálogos!$R$1))</f>
        <v>113.15089700021582</v>
      </c>
      <c r="K147" s="135">
        <f>IF(B147="","",IF(Catálogos!$K$10=1,Carátula!$F$17*Catálogos!$R$4,0))</f>
        <v>0</v>
      </c>
      <c r="L147" s="135">
        <f>IF(B147="","",IF(F147=0,0,CAT!H110))</f>
        <v>0</v>
      </c>
      <c r="M147" s="124"/>
      <c r="N147" s="135">
        <f t="shared" si="17"/>
        <v>0</v>
      </c>
      <c r="O147" s="135">
        <f t="shared" si="16"/>
        <v>7811.8490010997257</v>
      </c>
      <c r="P147" s="135">
        <f t="shared" si="10"/>
        <v>182618.89121637275</v>
      </c>
      <c r="Q147" s="136">
        <f t="shared" si="11"/>
        <v>1</v>
      </c>
    </row>
    <row r="148" spans="2:17" x14ac:dyDescent="0.25">
      <c r="B148" s="131">
        <f t="shared" si="12"/>
        <v>105</v>
      </c>
      <c r="C148" s="132">
        <f ca="1">IF(B148="","",'Fecha Pago'!K108)</f>
        <v>48886</v>
      </c>
      <c r="D148" s="133">
        <f>IF(B148="","",'Fecha Pago'!L108)</f>
        <v>30.4</v>
      </c>
      <c r="E148" s="134">
        <f t="shared" si="9"/>
        <v>9.3799999999999994E-2</v>
      </c>
      <c r="F148" s="135">
        <f t="shared" si="13"/>
        <v>182618.89121637275</v>
      </c>
      <c r="G148" s="135">
        <f>IF(B148="","",IF(F148=0,0,MIN(F148,IF(Catálogos!$N$6=1,Prepagos!C107,IF(Catálogos!$N$6=2,Prepagos!D107,IF(Catálogos!$N$6=3,Prepagos!E107,))))))</f>
        <v>6013.1926423447148</v>
      </c>
      <c r="H148" s="135">
        <f t="shared" si="14"/>
        <v>1446.5039463369756</v>
      </c>
      <c r="I148" s="135">
        <f t="shared" si="15"/>
        <v>231.44063141391609</v>
      </c>
      <c r="J148" s="135">
        <f>IF(B148="","",IF(F148=0,0,F148*Catálogos!$R$1))</f>
        <v>109.57133472982365</v>
      </c>
      <c r="K148" s="135">
        <f>IF(B148="","",IF(Catálogos!$K$10=1,Carátula!$F$17*Catálogos!$R$4,0))</f>
        <v>0</v>
      </c>
      <c r="L148" s="135">
        <f>IF(B148="","",IF(F148=0,0,CAT!H111))</f>
        <v>0</v>
      </c>
      <c r="M148" s="124"/>
      <c r="N148" s="135">
        <f t="shared" si="17"/>
        <v>0</v>
      </c>
      <c r="O148" s="135">
        <f t="shared" si="16"/>
        <v>7800.7085548254299</v>
      </c>
      <c r="P148" s="135">
        <f t="shared" si="10"/>
        <v>176605.69857402804</v>
      </c>
      <c r="Q148" s="136">
        <f t="shared" si="11"/>
        <v>1</v>
      </c>
    </row>
    <row r="149" spans="2:17" x14ac:dyDescent="0.25">
      <c r="B149" s="131">
        <f t="shared" si="12"/>
        <v>106</v>
      </c>
      <c r="C149" s="132">
        <f ca="1">IF(B149="","",'Fecha Pago'!K109)</f>
        <v>48916</v>
      </c>
      <c r="D149" s="133">
        <f>IF(B149="","",'Fecha Pago'!L109)</f>
        <v>30.4</v>
      </c>
      <c r="E149" s="134">
        <f t="shared" si="9"/>
        <v>9.3799999999999994E-2</v>
      </c>
      <c r="F149" s="135">
        <f t="shared" si="13"/>
        <v>176605.69857402804</v>
      </c>
      <c r="G149" s="135">
        <f>IF(B149="","",IF(F149=0,0,MIN(F149,IF(Catálogos!$N$6=1,Prepagos!C108,IF(Catálogos!$N$6=2,Prepagos!D108,IF(Catálogos!$N$6=3,Prepagos!E108,))))))</f>
        <v>6060.8224731322116</v>
      </c>
      <c r="H149" s="135">
        <f t="shared" si="14"/>
        <v>1398.874115549479</v>
      </c>
      <c r="I149" s="135">
        <f t="shared" si="15"/>
        <v>223.81985848791666</v>
      </c>
      <c r="J149" s="135">
        <f>IF(B149="","",IF(F149=0,0,F149*Catálogos!$R$1))</f>
        <v>105.96341914441682</v>
      </c>
      <c r="K149" s="135">
        <f>IF(B149="","",IF(Catálogos!$K$10=1,Carátula!$F$17*Catálogos!$R$4,0))</f>
        <v>0</v>
      </c>
      <c r="L149" s="135">
        <f>IF(B149="","",IF(F149=0,0,CAT!H112))</f>
        <v>0</v>
      </c>
      <c r="M149" s="124"/>
      <c r="N149" s="135">
        <f t="shared" si="17"/>
        <v>0</v>
      </c>
      <c r="O149" s="135">
        <f t="shared" si="16"/>
        <v>7789.4798663140236</v>
      </c>
      <c r="P149" s="135">
        <f t="shared" si="10"/>
        <v>170544.87610089581</v>
      </c>
      <c r="Q149" s="136">
        <f t="shared" si="11"/>
        <v>1</v>
      </c>
    </row>
    <row r="150" spans="2:17" x14ac:dyDescent="0.25">
      <c r="B150" s="131">
        <f t="shared" si="12"/>
        <v>107</v>
      </c>
      <c r="C150" s="132">
        <f ca="1">IF(B150="","",'Fecha Pago'!K110)</f>
        <v>48947</v>
      </c>
      <c r="D150" s="133">
        <f>IF(B150="","",'Fecha Pago'!L110)</f>
        <v>30.4</v>
      </c>
      <c r="E150" s="134">
        <f t="shared" si="9"/>
        <v>9.3799999999999994E-2</v>
      </c>
      <c r="F150" s="135">
        <f t="shared" si="13"/>
        <v>170544.87610089581</v>
      </c>
      <c r="G150" s="135">
        <f>IF(B150="","",IF(F150=0,0,MIN(F150,IF(Catálogos!$N$6=1,Prepagos!C109,IF(Catálogos!$N$6=2,Prepagos!D109,IF(Catálogos!$N$6=3,Prepagos!E109,))))))</f>
        <v>6108.8295745171727</v>
      </c>
      <c r="H150" s="135">
        <f t="shared" si="14"/>
        <v>1350.8670141645177</v>
      </c>
      <c r="I150" s="135">
        <f t="shared" si="15"/>
        <v>216.13872226632284</v>
      </c>
      <c r="J150" s="135">
        <f>IF(B150="","",IF(F150=0,0,F150*Catálogos!$R$1))</f>
        <v>102.32692566053748</v>
      </c>
      <c r="K150" s="135">
        <f>IF(B150="","",IF(Catálogos!$K$10=1,Carátula!$F$17*Catálogos!$R$4,0))</f>
        <v>0</v>
      </c>
      <c r="L150" s="135">
        <f>IF(B150="","",IF(F150=0,0,CAT!H113))</f>
        <v>0</v>
      </c>
      <c r="M150" s="124"/>
      <c r="N150" s="135">
        <f t="shared" si="17"/>
        <v>0</v>
      </c>
      <c r="O150" s="135">
        <f t="shared" si="16"/>
        <v>7778.1622366085503</v>
      </c>
      <c r="P150" s="135">
        <f t="shared" si="10"/>
        <v>164436.04652637863</v>
      </c>
      <c r="Q150" s="136">
        <f t="shared" si="11"/>
        <v>1</v>
      </c>
    </row>
    <row r="151" spans="2:17" x14ac:dyDescent="0.25">
      <c r="B151" s="131">
        <f t="shared" si="12"/>
        <v>108</v>
      </c>
      <c r="C151" s="132">
        <f ca="1">IF(B151="","",'Fecha Pago'!K111)</f>
        <v>48978</v>
      </c>
      <c r="D151" s="133">
        <f>IF(B151="","",'Fecha Pago'!L111)</f>
        <v>30.4</v>
      </c>
      <c r="E151" s="134">
        <f t="shared" si="9"/>
        <v>9.3799999999999994E-2</v>
      </c>
      <c r="F151" s="135">
        <f t="shared" si="13"/>
        <v>164436.04652637863</v>
      </c>
      <c r="G151" s="135">
        <f>IF(B151="","",IF(F151=0,0,MIN(F151,IF(Catálogos!$N$6=1,Prepagos!C110,IF(Catálogos!$N$6=2,Prepagos!D110,IF(Catálogos!$N$6=3,Prepagos!E110,))))))</f>
        <v>6157.2169348180814</v>
      </c>
      <c r="H151" s="135">
        <f t="shared" si="14"/>
        <v>1302.4796538636087</v>
      </c>
      <c r="I151" s="135">
        <f t="shared" si="15"/>
        <v>208.39674461817739</v>
      </c>
      <c r="J151" s="135">
        <f>IF(B151="","",IF(F151=0,0,F151*Catálogos!$R$1))</f>
        <v>98.661627915827168</v>
      </c>
      <c r="K151" s="135">
        <f>IF(B151="","",IF(Catálogos!$K$10=1,Carátula!$F$17*Catálogos!$R$4,0))</f>
        <v>0</v>
      </c>
      <c r="L151" s="135">
        <f>IF(B151="","",IF(F151=0,0,CAT!H114))</f>
        <v>0</v>
      </c>
      <c r="M151" s="124"/>
      <c r="N151" s="135">
        <f t="shared" si="17"/>
        <v>0</v>
      </c>
      <c r="O151" s="135">
        <f t="shared" si="16"/>
        <v>7766.7549612156954</v>
      </c>
      <c r="P151" s="135">
        <f t="shared" si="10"/>
        <v>158278.82959156056</v>
      </c>
      <c r="Q151" s="136">
        <f t="shared" si="11"/>
        <v>1</v>
      </c>
    </row>
    <row r="152" spans="2:17" x14ac:dyDescent="0.25">
      <c r="B152" s="131">
        <f t="shared" si="12"/>
        <v>109</v>
      </c>
      <c r="C152" s="132">
        <f ca="1">IF(B152="","",'Fecha Pago'!K112)</f>
        <v>49006</v>
      </c>
      <c r="D152" s="133">
        <f>IF(B152="","",'Fecha Pago'!L112)</f>
        <v>30.4</v>
      </c>
      <c r="E152" s="134">
        <f t="shared" si="9"/>
        <v>9.3799999999999994E-2</v>
      </c>
      <c r="F152" s="135">
        <f t="shared" si="13"/>
        <v>158278.82959156056</v>
      </c>
      <c r="G152" s="135">
        <f>IF(B152="","",IF(F152=0,0,MIN(F152,IF(Catálogos!$N$6=1,Prepagos!C111,IF(Catálogos!$N$6=2,Prepagos!D111,IF(Catálogos!$N$6=3,Prepagos!E111,))))))</f>
        <v>6205.9875660235612</v>
      </c>
      <c r="H152" s="135">
        <f t="shared" si="14"/>
        <v>1253.7090226581299</v>
      </c>
      <c r="I152" s="135">
        <f t="shared" si="15"/>
        <v>200.59344362530078</v>
      </c>
      <c r="J152" s="135">
        <f>IF(B152="","",IF(F152=0,0,F152*Catálogos!$R$1))</f>
        <v>94.967297754936325</v>
      </c>
      <c r="K152" s="135">
        <f>IF(B152="","",IF(Catálogos!$K$10=1,Carátula!$F$17*Catálogos!$R$4,0))</f>
        <v>0</v>
      </c>
      <c r="L152" s="135">
        <f>IF(B152="","",IF(F152=0,0,CAT!H115))</f>
        <v>0</v>
      </c>
      <c r="M152" s="124"/>
      <c r="N152" s="135">
        <f t="shared" si="17"/>
        <v>0</v>
      </c>
      <c r="O152" s="135">
        <f t="shared" si="16"/>
        <v>7755.2573300619279</v>
      </c>
      <c r="P152" s="135">
        <f t="shared" si="10"/>
        <v>152072.84202553699</v>
      </c>
      <c r="Q152" s="136">
        <f t="shared" si="11"/>
        <v>1</v>
      </c>
    </row>
    <row r="153" spans="2:17" x14ac:dyDescent="0.25">
      <c r="B153" s="131">
        <f t="shared" si="12"/>
        <v>110</v>
      </c>
      <c r="C153" s="132">
        <f ca="1">IF(B153="","",'Fecha Pago'!K113)</f>
        <v>49037</v>
      </c>
      <c r="D153" s="133">
        <f>IF(B153="","",'Fecha Pago'!L113)</f>
        <v>30.4</v>
      </c>
      <c r="E153" s="134">
        <f t="shared" si="9"/>
        <v>9.3799999999999994E-2</v>
      </c>
      <c r="F153" s="135">
        <f t="shared" si="13"/>
        <v>152072.84202553699</v>
      </c>
      <c r="G153" s="135">
        <f>IF(B153="","",IF(F153=0,0,MIN(F153,IF(Catálogos!$N$6=1,Prepagos!C112,IF(Catálogos!$N$6=2,Prepagos!D112,IF(Catálogos!$N$6=3,Prepagos!E112,))))))</f>
        <v>6255.14450397986</v>
      </c>
      <c r="H153" s="135">
        <f t="shared" si="14"/>
        <v>1204.5520847018311</v>
      </c>
      <c r="I153" s="135">
        <f t="shared" si="15"/>
        <v>192.72833355229298</v>
      </c>
      <c r="J153" s="135">
        <f>IF(B153="","",IF(F153=0,0,F153*Catálogos!$R$1))</f>
        <v>91.24370521532218</v>
      </c>
      <c r="K153" s="135">
        <f>IF(B153="","",IF(Catálogos!$K$10=1,Carátula!$F$17*Catálogos!$R$4,0))</f>
        <v>0</v>
      </c>
      <c r="L153" s="135">
        <f>IF(B153="","",IF(F153=0,0,CAT!H116))</f>
        <v>0</v>
      </c>
      <c r="M153" s="124"/>
      <c r="N153" s="135">
        <f t="shared" si="17"/>
        <v>0</v>
      </c>
      <c r="O153" s="135">
        <f t="shared" si="16"/>
        <v>7743.6686274493059</v>
      </c>
      <c r="P153" s="135">
        <f t="shared" si="10"/>
        <v>145817.69752155713</v>
      </c>
      <c r="Q153" s="136">
        <f t="shared" si="11"/>
        <v>1</v>
      </c>
    </row>
    <row r="154" spans="2:17" x14ac:dyDescent="0.25">
      <c r="B154" s="131">
        <f t="shared" si="12"/>
        <v>111</v>
      </c>
      <c r="C154" s="132">
        <f ca="1">IF(B154="","",'Fecha Pago'!K114)</f>
        <v>49067</v>
      </c>
      <c r="D154" s="133">
        <f>IF(B154="","",'Fecha Pago'!L114)</f>
        <v>30.4</v>
      </c>
      <c r="E154" s="134">
        <f t="shared" si="9"/>
        <v>9.3799999999999994E-2</v>
      </c>
      <c r="F154" s="135">
        <f t="shared" si="13"/>
        <v>145817.69752155713</v>
      </c>
      <c r="G154" s="135">
        <f>IF(B154="","",IF(F154=0,0,MIN(F154,IF(Catálogos!$N$6=1,Prepagos!C113,IF(Catálogos!$N$6=2,Prepagos!D113,IF(Catálogos!$N$6=3,Prepagos!E113,))))))</f>
        <v>6304.6908085798277</v>
      </c>
      <c r="H154" s="135">
        <f t="shared" si="14"/>
        <v>1155.0057801018627</v>
      </c>
      <c r="I154" s="135">
        <f t="shared" si="15"/>
        <v>184.80092481629802</v>
      </c>
      <c r="J154" s="135">
        <f>IF(B154="","",IF(F154=0,0,F154*Catálogos!$R$1))</f>
        <v>87.490618512934276</v>
      </c>
      <c r="K154" s="135">
        <f>IF(B154="","",IF(Catálogos!$K$10=1,Carátula!$F$17*Catálogos!$R$4,0))</f>
        <v>0</v>
      </c>
      <c r="L154" s="135">
        <f>IF(B154="","",IF(F154=0,0,CAT!H117))</f>
        <v>0</v>
      </c>
      <c r="M154" s="124"/>
      <c r="N154" s="135">
        <f t="shared" si="17"/>
        <v>0</v>
      </c>
      <c r="O154" s="135">
        <f t="shared" si="16"/>
        <v>7731.9881320109225</v>
      </c>
      <c r="P154" s="135">
        <f t="shared" si="10"/>
        <v>139513.00671297731</v>
      </c>
      <c r="Q154" s="136">
        <f t="shared" si="11"/>
        <v>1</v>
      </c>
    </row>
    <row r="155" spans="2:17" x14ac:dyDescent="0.25">
      <c r="B155" s="131">
        <f t="shared" si="12"/>
        <v>112</v>
      </c>
      <c r="C155" s="132">
        <f ca="1">IF(B155="","",'Fecha Pago'!K115)</f>
        <v>49098</v>
      </c>
      <c r="D155" s="133">
        <f>IF(B155="","",'Fecha Pago'!L115)</f>
        <v>30.4</v>
      </c>
      <c r="E155" s="134">
        <f t="shared" si="9"/>
        <v>9.3799999999999994E-2</v>
      </c>
      <c r="F155" s="135">
        <f t="shared" si="13"/>
        <v>139513.00671297731</v>
      </c>
      <c r="G155" s="135">
        <f>IF(B155="","",IF(F155=0,0,MIN(F155,IF(Catálogos!$N$6=1,Prepagos!C114,IF(Catálogos!$N$6=2,Prepagos!D114,IF(Catálogos!$N$6=3,Prepagos!E114,))))))</f>
        <v>6354.6295639533873</v>
      </c>
      <c r="H155" s="135">
        <f t="shared" si="14"/>
        <v>1105.0670247283028</v>
      </c>
      <c r="I155" s="135">
        <f t="shared" si="15"/>
        <v>176.81072395652845</v>
      </c>
      <c r="J155" s="135">
        <f>IF(B155="","",IF(F155=0,0,F155*Catálogos!$R$1))</f>
        <v>83.707804027786381</v>
      </c>
      <c r="K155" s="135">
        <f>IF(B155="","",IF(Catálogos!$K$10=1,Carátula!$F$17*Catálogos!$R$4,0))</f>
        <v>0</v>
      </c>
      <c r="L155" s="135">
        <f>IF(B155="","",IF(F155=0,0,CAT!H118))</f>
        <v>0</v>
      </c>
      <c r="M155" s="124"/>
      <c r="N155" s="135">
        <f t="shared" si="17"/>
        <v>0</v>
      </c>
      <c r="O155" s="135">
        <f t="shared" si="16"/>
        <v>7720.215116666006</v>
      </c>
      <c r="P155" s="135">
        <f t="shared" si="10"/>
        <v>133158.37714902393</v>
      </c>
      <c r="Q155" s="136">
        <f t="shared" si="11"/>
        <v>1</v>
      </c>
    </row>
    <row r="156" spans="2:17" x14ac:dyDescent="0.25">
      <c r="B156" s="131">
        <f t="shared" si="12"/>
        <v>113</v>
      </c>
      <c r="C156" s="132">
        <f ca="1">IF(B156="","",'Fecha Pago'!K116)</f>
        <v>49128</v>
      </c>
      <c r="D156" s="133">
        <f>IF(B156="","",'Fecha Pago'!L116)</f>
        <v>30.4</v>
      </c>
      <c r="E156" s="134">
        <f t="shared" si="9"/>
        <v>9.3799999999999994E-2</v>
      </c>
      <c r="F156" s="135">
        <f t="shared" si="13"/>
        <v>133158.37714902393</v>
      </c>
      <c r="G156" s="135">
        <f>IF(B156="","",IF(F156=0,0,MIN(F156,IF(Catálogos!$N$6=1,Prepagos!C115,IF(Catálogos!$N$6=2,Prepagos!D115,IF(Catálogos!$N$6=3,Prepagos!E115,))))))</f>
        <v>6404.9638786595106</v>
      </c>
      <c r="H156" s="135">
        <f t="shared" si="14"/>
        <v>1054.7327100221798</v>
      </c>
      <c r="I156" s="135">
        <f t="shared" si="15"/>
        <v>168.75723360354877</v>
      </c>
      <c r="J156" s="135">
        <f>IF(B156="","",IF(F156=0,0,F156*Catálogos!$R$1))</f>
        <v>79.895026289414346</v>
      </c>
      <c r="K156" s="135">
        <f>IF(B156="","",IF(Catálogos!$K$10=1,Carátula!$F$17*Catálogos!$R$4,0))</f>
        <v>0</v>
      </c>
      <c r="L156" s="135">
        <f>IF(B156="","",IF(F156=0,0,CAT!H119))</f>
        <v>0</v>
      </c>
      <c r="M156" s="124"/>
      <c r="N156" s="135">
        <f t="shared" si="17"/>
        <v>0</v>
      </c>
      <c r="O156" s="135">
        <f t="shared" si="16"/>
        <v>7708.3488485746539</v>
      </c>
      <c r="P156" s="135">
        <f t="shared" si="10"/>
        <v>126753.41327036441</v>
      </c>
      <c r="Q156" s="136">
        <f t="shared" si="11"/>
        <v>1</v>
      </c>
    </row>
    <row r="157" spans="2:17" x14ac:dyDescent="0.25">
      <c r="B157" s="131">
        <f t="shared" si="12"/>
        <v>114</v>
      </c>
      <c r="C157" s="132">
        <f ca="1">IF(B157="","",'Fecha Pago'!K117)</f>
        <v>49159</v>
      </c>
      <c r="D157" s="133">
        <f>IF(B157="","",'Fecha Pago'!L117)</f>
        <v>30.4</v>
      </c>
      <c r="E157" s="134">
        <f t="shared" si="9"/>
        <v>9.3799999999999994E-2</v>
      </c>
      <c r="F157" s="135">
        <f t="shared" si="13"/>
        <v>126753.41327036441</v>
      </c>
      <c r="G157" s="135">
        <f>IF(B157="","",IF(F157=0,0,MIN(F157,IF(Catálogos!$N$6=1,Prepagos!C116,IF(Catálogos!$N$6=2,Prepagos!D116,IF(Catálogos!$N$6=3,Prepagos!E116,))))))</f>
        <v>6455.69688587972</v>
      </c>
      <c r="H157" s="135">
        <f t="shared" si="14"/>
        <v>1003.9997028019709</v>
      </c>
      <c r="I157" s="135">
        <f t="shared" si="15"/>
        <v>160.63995244831534</v>
      </c>
      <c r="J157" s="135">
        <f>IF(B157="","",IF(F157=0,0,F157*Catálogos!$R$1))</f>
        <v>76.052047962218637</v>
      </c>
      <c r="K157" s="135">
        <f>IF(B157="","",IF(Catálogos!$K$10=1,Carátula!$F$17*Catálogos!$R$4,0))</f>
        <v>0</v>
      </c>
      <c r="L157" s="135">
        <f>IF(B157="","",IF(F157=0,0,CAT!H120))</f>
        <v>0</v>
      </c>
      <c r="M157" s="124"/>
      <c r="N157" s="135">
        <f t="shared" si="17"/>
        <v>0</v>
      </c>
      <c r="O157" s="135">
        <f t="shared" si="16"/>
        <v>7696.3885890922238</v>
      </c>
      <c r="P157" s="135">
        <f t="shared" si="10"/>
        <v>120297.71638448469</v>
      </c>
      <c r="Q157" s="136">
        <f t="shared" si="11"/>
        <v>1</v>
      </c>
    </row>
    <row r="158" spans="2:17" x14ac:dyDescent="0.25">
      <c r="B158" s="131">
        <f t="shared" si="12"/>
        <v>115</v>
      </c>
      <c r="C158" s="132">
        <f ca="1">IF(B158="","",'Fecha Pago'!K118)</f>
        <v>49190</v>
      </c>
      <c r="D158" s="133">
        <f>IF(B158="","",'Fecha Pago'!L118)</f>
        <v>30.4</v>
      </c>
      <c r="E158" s="134">
        <f t="shared" si="9"/>
        <v>9.3799999999999994E-2</v>
      </c>
      <c r="F158" s="135">
        <f t="shared" si="13"/>
        <v>120297.71638448469</v>
      </c>
      <c r="G158" s="135">
        <f>IF(B158="","",IF(F158=0,0,MIN(F158,IF(Catálogos!$N$6=1,Prepagos!C117,IF(Catálogos!$N$6=2,Prepagos!D117,IF(Catálogos!$N$6=3,Prepagos!E117,))))))</f>
        <v>6506.8317436131192</v>
      </c>
      <c r="H158" s="135">
        <f t="shared" si="14"/>
        <v>952.86484506857164</v>
      </c>
      <c r="I158" s="135">
        <f t="shared" si="15"/>
        <v>152.45837521097147</v>
      </c>
      <c r="J158" s="135">
        <f>IF(B158="","",IF(F158=0,0,F158*Catálogos!$R$1))</f>
        <v>72.178629830690809</v>
      </c>
      <c r="K158" s="135">
        <f>IF(B158="","",IF(Catálogos!$K$10=1,Carátula!$F$17*Catálogos!$R$4,0))</f>
        <v>0</v>
      </c>
      <c r="L158" s="135">
        <f>IF(B158="","",IF(F158=0,0,CAT!H121))</f>
        <v>0</v>
      </c>
      <c r="M158" s="124"/>
      <c r="N158" s="135">
        <f t="shared" si="17"/>
        <v>0</v>
      </c>
      <c r="O158" s="135">
        <f t="shared" si="16"/>
        <v>7684.3335937233524</v>
      </c>
      <c r="P158" s="135">
        <f t="shared" si="10"/>
        <v>113790.88464087158</v>
      </c>
      <c r="Q158" s="136">
        <f t="shared" si="11"/>
        <v>1</v>
      </c>
    </row>
    <row r="159" spans="2:17" x14ac:dyDescent="0.25">
      <c r="B159" s="131">
        <f t="shared" si="12"/>
        <v>116</v>
      </c>
      <c r="C159" s="132">
        <f ca="1">IF(B159="","",'Fecha Pago'!K119)</f>
        <v>49220</v>
      </c>
      <c r="D159" s="133">
        <f>IF(B159="","",'Fecha Pago'!L119)</f>
        <v>30.4</v>
      </c>
      <c r="E159" s="134">
        <f t="shared" si="9"/>
        <v>9.3799999999999994E-2</v>
      </c>
      <c r="F159" s="135">
        <f t="shared" si="13"/>
        <v>113790.88464087158</v>
      </c>
      <c r="G159" s="135">
        <f>IF(B159="","",IF(F159=0,0,MIN(F159,IF(Catálogos!$N$6=1,Prepagos!C118,IF(Catálogos!$N$6=2,Prepagos!D118,IF(Catálogos!$N$6=3,Prepagos!E118,))))))</f>
        <v>6558.371634872974</v>
      </c>
      <c r="H159" s="135">
        <f t="shared" si="14"/>
        <v>901.32495380871694</v>
      </c>
      <c r="I159" s="135">
        <f t="shared" si="15"/>
        <v>144.21199260939471</v>
      </c>
      <c r="J159" s="135">
        <f>IF(B159="","",IF(F159=0,0,F159*Catálogos!$R$1))</f>
        <v>68.274530784522938</v>
      </c>
      <c r="K159" s="135">
        <f>IF(B159="","",IF(Catálogos!$K$10=1,Carátula!$F$17*Catálogos!$R$4,0))</f>
        <v>0</v>
      </c>
      <c r="L159" s="135">
        <f>IF(B159="","",IF(F159=0,0,CAT!H122))</f>
        <v>0</v>
      </c>
      <c r="M159" s="124"/>
      <c r="N159" s="135">
        <f t="shared" si="17"/>
        <v>0</v>
      </c>
      <c r="O159" s="135">
        <f t="shared" si="16"/>
        <v>7672.1831120756078</v>
      </c>
      <c r="P159" s="135">
        <f t="shared" si="10"/>
        <v>107232.5130059986</v>
      </c>
      <c r="Q159" s="136">
        <f t="shared" si="11"/>
        <v>1</v>
      </c>
    </row>
    <row r="160" spans="2:17" x14ac:dyDescent="0.25">
      <c r="B160" s="131">
        <f t="shared" si="12"/>
        <v>117</v>
      </c>
      <c r="C160" s="132">
        <f ca="1">IF(B160="","",'Fecha Pago'!K120)</f>
        <v>49251</v>
      </c>
      <c r="D160" s="133">
        <f>IF(B160="","",'Fecha Pago'!L120)</f>
        <v>30.4</v>
      </c>
      <c r="E160" s="134">
        <f t="shared" si="9"/>
        <v>9.3799999999999994E-2</v>
      </c>
      <c r="F160" s="135">
        <f t="shared" si="13"/>
        <v>107232.5130059986</v>
      </c>
      <c r="G160" s="135">
        <f>IF(B160="","",IF(F160=0,0,MIN(F160,IF(Catálogos!$N$6=1,Prepagos!C119,IF(Catálogos!$N$6=2,Prepagos!D119,IF(Catálogos!$N$6=3,Prepagos!E119,))))))</f>
        <v>6610.3197678848428</v>
      </c>
      <c r="H160" s="135">
        <f t="shared" si="14"/>
        <v>849.37682079684748</v>
      </c>
      <c r="I160" s="135">
        <f t="shared" si="15"/>
        <v>135.90029132749561</v>
      </c>
      <c r="J160" s="135">
        <f>IF(B160="","",IF(F160=0,0,F160*Catálogos!$R$1))</f>
        <v>64.339507803599147</v>
      </c>
      <c r="K160" s="135">
        <f>IF(B160="","",IF(Catálogos!$K$10=1,Carátula!$F$17*Catálogos!$R$4,0))</f>
        <v>0</v>
      </c>
      <c r="L160" s="135">
        <f>IF(B160="","",IF(F160=0,0,CAT!H123))</f>
        <v>0</v>
      </c>
      <c r="M160" s="124"/>
      <c r="N160" s="135">
        <f t="shared" si="17"/>
        <v>0</v>
      </c>
      <c r="O160" s="135">
        <f t="shared" si="16"/>
        <v>7659.9363878127851</v>
      </c>
      <c r="P160" s="135">
        <f t="shared" si="10"/>
        <v>100622.19323811376</v>
      </c>
      <c r="Q160" s="136">
        <f t="shared" si="11"/>
        <v>1</v>
      </c>
    </row>
    <row r="161" spans="2:17" x14ac:dyDescent="0.25">
      <c r="B161" s="131">
        <f t="shared" si="12"/>
        <v>118</v>
      </c>
      <c r="C161" s="132">
        <f ca="1">IF(B161="","",'Fecha Pago'!K121)</f>
        <v>49281</v>
      </c>
      <c r="D161" s="133">
        <f>IF(B161="","",'Fecha Pago'!L121)</f>
        <v>30.4</v>
      </c>
      <c r="E161" s="134">
        <f t="shared" si="9"/>
        <v>9.3799999999999994E-2</v>
      </c>
      <c r="F161" s="135">
        <f t="shared" si="13"/>
        <v>100622.19323811376</v>
      </c>
      <c r="G161" s="135">
        <f>IF(B161="","",IF(F161=0,0,MIN(F161,IF(Catálogos!$N$6=1,Prepagos!C120,IF(Catálogos!$N$6=2,Prepagos!D120,IF(Catálogos!$N$6=3,Prepagos!E120,))))))</f>
        <v>6662.6793762862844</v>
      </c>
      <c r="H161" s="135">
        <f t="shared" si="14"/>
        <v>797.01721239540598</v>
      </c>
      <c r="I161" s="135">
        <f t="shared" si="15"/>
        <v>127.52275398326496</v>
      </c>
      <c r="J161" s="135">
        <f>IF(B161="","",IF(F161=0,0,F161*Catálogos!$R$1))</f>
        <v>60.373315942868253</v>
      </c>
      <c r="K161" s="135">
        <f>IF(B161="","",IF(Catálogos!$K$10=1,Carátula!$F$17*Catálogos!$R$4,0))</f>
        <v>0</v>
      </c>
      <c r="L161" s="135">
        <f>IF(B161="","",IF(F161=0,0,CAT!H124))</f>
        <v>0</v>
      </c>
      <c r="M161" s="124"/>
      <c r="N161" s="135">
        <f t="shared" si="17"/>
        <v>0</v>
      </c>
      <c r="O161" s="135">
        <f t="shared" si="16"/>
        <v>7647.592658607824</v>
      </c>
      <c r="P161" s="135">
        <f t="shared" si="10"/>
        <v>93959.51386182748</v>
      </c>
      <c r="Q161" s="136">
        <f t="shared" si="11"/>
        <v>1</v>
      </c>
    </row>
    <row r="162" spans="2:17" x14ac:dyDescent="0.25">
      <c r="B162" s="131">
        <f t="shared" si="12"/>
        <v>119</v>
      </c>
      <c r="C162" s="132">
        <f ca="1">IF(B162="","",'Fecha Pago'!K122)</f>
        <v>49312</v>
      </c>
      <c r="D162" s="133">
        <f>IF(B162="","",'Fecha Pago'!L122)</f>
        <v>30.4</v>
      </c>
      <c r="E162" s="134">
        <f t="shared" si="9"/>
        <v>9.3799999999999994E-2</v>
      </c>
      <c r="F162" s="135">
        <f t="shared" si="13"/>
        <v>93959.51386182748</v>
      </c>
      <c r="G162" s="135">
        <f>IF(B162="","",IF(F162=0,0,MIN(F162,IF(Catálogos!$N$6=1,Prepagos!C121,IF(Catálogos!$N$6=2,Prepagos!D121,IF(Catálogos!$N$6=3,Prepagos!E121,))))))</f>
        <v>6715.4537193281394</v>
      </c>
      <c r="H162" s="135">
        <f t="shared" si="14"/>
        <v>744.24286935355076</v>
      </c>
      <c r="I162" s="135">
        <f t="shared" si="15"/>
        <v>119.07885909656812</v>
      </c>
      <c r="J162" s="135">
        <f>IF(B162="","",IF(F162=0,0,F162*Catálogos!$R$1))</f>
        <v>56.375708317096482</v>
      </c>
      <c r="K162" s="135">
        <f>IF(B162="","",IF(Catálogos!$K$10=1,Carátula!$F$17*Catálogos!$R$4,0))</f>
        <v>0</v>
      </c>
      <c r="L162" s="135">
        <f>IF(B162="","",IF(F162=0,0,CAT!H125))</f>
        <v>0</v>
      </c>
      <c r="M162" s="124"/>
      <c r="N162" s="135">
        <f t="shared" si="17"/>
        <v>0</v>
      </c>
      <c r="O162" s="135">
        <f t="shared" si="16"/>
        <v>7635.1511560953559</v>
      </c>
      <c r="P162" s="135">
        <f t="shared" si="10"/>
        <v>87244.060142499337</v>
      </c>
      <c r="Q162" s="136">
        <f t="shared" si="11"/>
        <v>1</v>
      </c>
    </row>
    <row r="163" spans="2:17" x14ac:dyDescent="0.25">
      <c r="B163" s="131">
        <f t="shared" si="12"/>
        <v>120</v>
      </c>
      <c r="C163" s="132">
        <f ca="1">IF(B163="","",'Fecha Pago'!K123)</f>
        <v>49343</v>
      </c>
      <c r="D163" s="133">
        <f>IF(B163="","",'Fecha Pago'!L123)</f>
        <v>30.4</v>
      </c>
      <c r="E163" s="134">
        <f t="shared" si="9"/>
        <v>9.3799999999999994E-2</v>
      </c>
      <c r="F163" s="135">
        <f t="shared" si="13"/>
        <v>87244.060142499337</v>
      </c>
      <c r="G163" s="135">
        <f>IF(B163="","",IF(F163=0,0,MIN(F163,IF(Catálogos!$N$6=1,Prepagos!C122,IF(Catálogos!$N$6=2,Prepagos!D122,IF(Catálogos!$N$6=3,Prepagos!E122,))))))</f>
        <v>6768.6460820774137</v>
      </c>
      <c r="H163" s="135">
        <f t="shared" si="14"/>
        <v>691.05050660427696</v>
      </c>
      <c r="I163" s="135">
        <f t="shared" si="15"/>
        <v>110.56808105668432</v>
      </c>
      <c r="J163" s="135">
        <f>IF(B163="","",IF(F163=0,0,F163*Catálogos!$R$1))</f>
        <v>52.346436085499597</v>
      </c>
      <c r="K163" s="135">
        <f>IF(B163="","",IF(Catálogos!$K$10=1,Carátula!$F$17*Catálogos!$R$4,0))</f>
        <v>0</v>
      </c>
      <c r="L163" s="135">
        <f>IF(B163="","",IF(F163=0,0,CAT!H126))</f>
        <v>0</v>
      </c>
      <c r="M163" s="124"/>
      <c r="N163" s="135">
        <f t="shared" si="17"/>
        <v>0</v>
      </c>
      <c r="O163" s="135">
        <f t="shared" si="16"/>
        <v>7622.6111058238748</v>
      </c>
      <c r="P163" s="135">
        <f t="shared" si="10"/>
        <v>80475.414060421928</v>
      </c>
      <c r="Q163" s="136">
        <f t="shared" si="11"/>
        <v>1</v>
      </c>
    </row>
    <row r="164" spans="2:17" x14ac:dyDescent="0.25">
      <c r="B164" s="131">
        <f t="shared" si="12"/>
        <v>121</v>
      </c>
      <c r="C164" s="132">
        <f ca="1">IF(B164="","",'Fecha Pago'!K124)</f>
        <v>49371</v>
      </c>
      <c r="D164" s="133">
        <f>IF(B164="","",'Fecha Pago'!L124)</f>
        <v>30.4</v>
      </c>
      <c r="E164" s="134">
        <f t="shared" si="9"/>
        <v>9.3799999999999994E-2</v>
      </c>
      <c r="F164" s="135">
        <f t="shared" si="13"/>
        <v>80475.414060421928</v>
      </c>
      <c r="G164" s="135">
        <f>IF(B164="","",IF(F164=0,0,MIN(F164,IF(Catálogos!$N$6=1,Prepagos!C123,IF(Catálogos!$N$6=2,Prepagos!D123,IF(Catálogos!$N$6=3,Prepagos!E123,))))))</f>
        <v>6822.2597756217619</v>
      </c>
      <c r="H164" s="135">
        <f t="shared" si="14"/>
        <v>637.43681305992868</v>
      </c>
      <c r="I164" s="135">
        <f t="shared" si="15"/>
        <v>101.98989008958858</v>
      </c>
      <c r="J164" s="135">
        <f>IF(B164="","",IF(F164=0,0,F164*Catálogos!$R$1))</f>
        <v>48.285248436253156</v>
      </c>
      <c r="K164" s="135">
        <f>IF(B164="","",IF(Catálogos!$K$10=1,Carátula!$F$17*Catálogos!$R$4,0))</f>
        <v>0</v>
      </c>
      <c r="L164" s="135">
        <f>IF(B164="","",IF(F164=0,0,CAT!H127))</f>
        <v>0</v>
      </c>
      <c r="M164" s="124"/>
      <c r="N164" s="135">
        <f t="shared" si="17"/>
        <v>0</v>
      </c>
      <c r="O164" s="135">
        <f t="shared" si="16"/>
        <v>7609.9717272075322</v>
      </c>
      <c r="P164" s="135">
        <f t="shared" si="10"/>
        <v>73653.15428480017</v>
      </c>
      <c r="Q164" s="136">
        <f t="shared" si="11"/>
        <v>1</v>
      </c>
    </row>
    <row r="165" spans="2:17" x14ac:dyDescent="0.25">
      <c r="B165" s="131">
        <f t="shared" si="12"/>
        <v>122</v>
      </c>
      <c r="C165" s="132">
        <f ca="1">IF(B165="","",'Fecha Pago'!K125)</f>
        <v>49402</v>
      </c>
      <c r="D165" s="133">
        <f>IF(B165="","",'Fecha Pago'!L125)</f>
        <v>30.4</v>
      </c>
      <c r="E165" s="134">
        <f t="shared" si="9"/>
        <v>9.3799999999999994E-2</v>
      </c>
      <c r="F165" s="135">
        <f t="shared" si="13"/>
        <v>73653.15428480017</v>
      </c>
      <c r="G165" s="135">
        <f>IF(B165="","",IF(F165=0,0,MIN(F165,IF(Catálogos!$N$6=1,Prepagos!C124,IF(Catálogos!$N$6=2,Prepagos!D124,IF(Catálogos!$N$6=3,Prepagos!E124,))))))</f>
        <v>6876.2981372755976</v>
      </c>
      <c r="H165" s="135">
        <f t="shared" si="14"/>
        <v>583.3984514060927</v>
      </c>
      <c r="I165" s="135">
        <f t="shared" si="15"/>
        <v>93.343752224974835</v>
      </c>
      <c r="J165" s="135">
        <f>IF(B165="","",IF(F165=0,0,F165*Catálogos!$R$1))</f>
        <v>44.1918925708801</v>
      </c>
      <c r="K165" s="135">
        <f>IF(B165="","",IF(Catálogos!$K$10=1,Carátula!$F$17*Catálogos!$R$4,0))</f>
        <v>0</v>
      </c>
      <c r="L165" s="135">
        <f>IF(B165="","",IF(F165=0,0,CAT!H128))</f>
        <v>0</v>
      </c>
      <c r="M165" s="124"/>
      <c r="N165" s="135">
        <f t="shared" si="17"/>
        <v>0</v>
      </c>
      <c r="O165" s="135">
        <f t="shared" si="16"/>
        <v>7597.2322334775454</v>
      </c>
      <c r="P165" s="135">
        <f t="shared" si="10"/>
        <v>66776.856147524566</v>
      </c>
      <c r="Q165" s="136">
        <f t="shared" si="11"/>
        <v>1</v>
      </c>
    </row>
    <row r="166" spans="2:17" x14ac:dyDescent="0.25">
      <c r="B166" s="131">
        <f t="shared" si="12"/>
        <v>123</v>
      </c>
      <c r="C166" s="132">
        <f ca="1">IF(B166="","",'Fecha Pago'!K126)</f>
        <v>49432</v>
      </c>
      <c r="D166" s="133">
        <f>IF(B166="","",'Fecha Pago'!L126)</f>
        <v>30.4</v>
      </c>
      <c r="E166" s="134">
        <f t="shared" si="9"/>
        <v>9.3799999999999994E-2</v>
      </c>
      <c r="F166" s="135">
        <f t="shared" si="13"/>
        <v>66776.856147524566</v>
      </c>
      <c r="G166" s="135">
        <f>IF(B166="","",IF(F166=0,0,MIN(F166,IF(Catálogos!$N$6=1,Prepagos!C125,IF(Catálogos!$N$6=2,Prepagos!D125,IF(Catálogos!$N$6=3,Prepagos!E125,))))))</f>
        <v>6930.764530787832</v>
      </c>
      <c r="H166" s="135">
        <f t="shared" si="14"/>
        <v>528.932057893859</v>
      </c>
      <c r="I166" s="135">
        <f t="shared" si="15"/>
        <v>84.629129263017447</v>
      </c>
      <c r="J166" s="135">
        <f>IF(B166="","",IF(F166=0,0,F166*Catálogos!$R$1))</f>
        <v>40.066113688514733</v>
      </c>
      <c r="K166" s="135">
        <f>IF(B166="","",IF(Catálogos!$K$10=1,Carátula!$F$17*Catálogos!$R$4,0))</f>
        <v>0</v>
      </c>
      <c r="L166" s="135">
        <f>IF(B166="","",IF(F166=0,0,CAT!H129))</f>
        <v>0</v>
      </c>
      <c r="M166" s="124"/>
      <c r="N166" s="135">
        <f t="shared" si="17"/>
        <v>0</v>
      </c>
      <c r="O166" s="135">
        <f t="shared" si="16"/>
        <v>7584.3918316332229</v>
      </c>
      <c r="P166" s="135">
        <f t="shared" si="10"/>
        <v>59846.091616736732</v>
      </c>
      <c r="Q166" s="136">
        <f t="shared" si="11"/>
        <v>1</v>
      </c>
    </row>
    <row r="167" spans="2:17" x14ac:dyDescent="0.25">
      <c r="B167" s="131">
        <f t="shared" si="12"/>
        <v>124</v>
      </c>
      <c r="C167" s="132">
        <f ca="1">IF(B167="","",'Fecha Pago'!K127)</f>
        <v>49463</v>
      </c>
      <c r="D167" s="133">
        <f>IF(B167="","",'Fecha Pago'!L127)</f>
        <v>30.4</v>
      </c>
      <c r="E167" s="134">
        <f t="shared" si="9"/>
        <v>9.3799999999999994E-2</v>
      </c>
      <c r="F167" s="135">
        <f t="shared" si="13"/>
        <v>59846.091616736732</v>
      </c>
      <c r="G167" s="135">
        <f>IF(B167="","",IF(F167=0,0,MIN(F167,IF(Catálogos!$N$6=1,Prepagos!C126,IF(Catálogos!$N$6=2,Prepagos!D126,IF(Catálogos!$N$6=3,Prepagos!E126,))))))</f>
        <v>6985.6623465512539</v>
      </c>
      <c r="H167" s="135">
        <f t="shared" si="14"/>
        <v>474.03424213043644</v>
      </c>
      <c r="I167" s="135">
        <f t="shared" si="15"/>
        <v>75.845478740869837</v>
      </c>
      <c r="J167" s="135">
        <f>IF(B167="","",IF(F167=0,0,F167*Catálogos!$R$1))</f>
        <v>35.907654970042039</v>
      </c>
      <c r="K167" s="135">
        <f>IF(B167="","",IF(Catálogos!$K$10=1,Carátula!$F$17*Catálogos!$R$4,0))</f>
        <v>0</v>
      </c>
      <c r="L167" s="135">
        <f>IF(B167="","",IF(F167=0,0,CAT!H130))</f>
        <v>0</v>
      </c>
      <c r="M167" s="124"/>
      <c r="N167" s="135">
        <f t="shared" si="17"/>
        <v>0</v>
      </c>
      <c r="O167" s="135">
        <f t="shared" si="16"/>
        <v>7571.4497223926028</v>
      </c>
      <c r="P167" s="135">
        <f t="shared" si="10"/>
        <v>52860.429270185479</v>
      </c>
      <c r="Q167" s="136">
        <f t="shared" si="11"/>
        <v>1</v>
      </c>
    </row>
    <row r="168" spans="2:17" x14ac:dyDescent="0.25">
      <c r="B168" s="131">
        <f t="shared" si="12"/>
        <v>125</v>
      </c>
      <c r="C168" s="132">
        <f ca="1">IF(B168="","",'Fecha Pago'!K128)</f>
        <v>49493</v>
      </c>
      <c r="D168" s="133">
        <f>IF(B168="","",'Fecha Pago'!L128)</f>
        <v>30.4</v>
      </c>
      <c r="E168" s="134">
        <f t="shared" si="9"/>
        <v>9.3799999999999994E-2</v>
      </c>
      <c r="F168" s="135">
        <f t="shared" si="13"/>
        <v>52860.429270185479</v>
      </c>
      <c r="G168" s="135">
        <f>IF(B168="","",IF(F168=0,0,MIN(F168,IF(Catálogos!$N$6=1,Prepagos!C127,IF(Catálogos!$N$6=2,Prepagos!D127,IF(Catálogos!$N$6=3,Prepagos!E127,))))))</f>
        <v>7040.9950018135814</v>
      </c>
      <c r="H168" s="135">
        <f t="shared" si="14"/>
        <v>418.70158686810913</v>
      </c>
      <c r="I168" s="135">
        <f t="shared" si="15"/>
        <v>66.992253898897459</v>
      </c>
      <c r="J168" s="135">
        <f>IF(B168="","",IF(F168=0,0,F168*Catálogos!$R$1))</f>
        <v>31.716257562111284</v>
      </c>
      <c r="K168" s="135">
        <f>IF(B168="","",IF(Catálogos!$K$10=1,Carátula!$F$17*Catálogos!$R$4,0))</f>
        <v>0</v>
      </c>
      <c r="L168" s="135">
        <f>IF(B168="","",IF(F168=0,0,CAT!H131))</f>
        <v>0</v>
      </c>
      <c r="M168" s="124"/>
      <c r="N168" s="135">
        <f t="shared" si="17"/>
        <v>0</v>
      </c>
      <c r="O168" s="135">
        <f t="shared" si="16"/>
        <v>7558.4051001426997</v>
      </c>
      <c r="P168" s="135">
        <f t="shared" si="10"/>
        <v>45819.434268371901</v>
      </c>
      <c r="Q168" s="136">
        <f t="shared" si="11"/>
        <v>1</v>
      </c>
    </row>
    <row r="169" spans="2:17" x14ac:dyDescent="0.25">
      <c r="B169" s="131">
        <f t="shared" si="12"/>
        <v>126</v>
      </c>
      <c r="C169" s="132">
        <f ca="1">IF(B169="","",'Fecha Pago'!K129)</f>
        <v>49524</v>
      </c>
      <c r="D169" s="133">
        <f>IF(B169="","",'Fecha Pago'!L129)</f>
        <v>30.4</v>
      </c>
      <c r="E169" s="134">
        <f t="shared" si="9"/>
        <v>9.3799999999999994E-2</v>
      </c>
      <c r="F169" s="135">
        <f t="shared" si="13"/>
        <v>45819.434268371901</v>
      </c>
      <c r="G169" s="135">
        <f>IF(B169="","",IF(F169=0,0,MIN(F169,IF(Catálogos!$N$6=1,Prepagos!C128,IF(Catálogos!$N$6=2,Prepagos!D128,IF(Catálogos!$N$6=3,Prepagos!E128,))))))</f>
        <v>7096.7659408901691</v>
      </c>
      <c r="H169" s="135">
        <f t="shared" si="14"/>
        <v>362.93064779152178</v>
      </c>
      <c r="I169" s="135">
        <f t="shared" si="15"/>
        <v>58.068903646643484</v>
      </c>
      <c r="J169" s="135">
        <f>IF(B169="","",IF(F169=0,0,F169*Catálogos!$R$1))</f>
        <v>27.491660561023139</v>
      </c>
      <c r="K169" s="135">
        <f>IF(B169="","",IF(Catálogos!$K$10=1,Carátula!$F$17*Catálogos!$R$4,0))</f>
        <v>0</v>
      </c>
      <c r="L169" s="135">
        <f>IF(B169="","",IF(F169=0,0,CAT!H132))</f>
        <v>0</v>
      </c>
      <c r="M169" s="124"/>
      <c r="N169" s="135">
        <f t="shared" si="17"/>
        <v>0</v>
      </c>
      <c r="O169" s="135">
        <f t="shared" si="16"/>
        <v>7545.2571528893577</v>
      </c>
      <c r="P169" s="135">
        <f t="shared" si="10"/>
        <v>38722.668327481733</v>
      </c>
      <c r="Q169" s="136">
        <f t="shared" si="11"/>
        <v>1</v>
      </c>
    </row>
    <row r="170" spans="2:17" x14ac:dyDescent="0.25">
      <c r="B170" s="131">
        <f t="shared" si="12"/>
        <v>127</v>
      </c>
      <c r="C170" s="132">
        <f ca="1">IF(B170="","",'Fecha Pago'!K130)</f>
        <v>49555</v>
      </c>
      <c r="D170" s="133">
        <f>IF(B170="","",'Fecha Pago'!L130)</f>
        <v>30.4</v>
      </c>
      <c r="E170" s="134">
        <f t="shared" si="9"/>
        <v>9.3799999999999994E-2</v>
      </c>
      <c r="F170" s="135">
        <f t="shared" si="13"/>
        <v>38722.668327481733</v>
      </c>
      <c r="G170" s="135">
        <f>IF(B170="","",IF(F170=0,0,MIN(F170,IF(Catálogos!$N$6=1,Prepagos!C129,IF(Catálogos!$N$6=2,Prepagos!D129,IF(Catálogos!$N$6=3,Prepagos!E129,))))))</f>
        <v>7152.9786353784111</v>
      </c>
      <c r="H170" s="135">
        <f t="shared" si="14"/>
        <v>306.71795330327973</v>
      </c>
      <c r="I170" s="135">
        <f t="shared" si="15"/>
        <v>49.074872528524757</v>
      </c>
      <c r="J170" s="135">
        <f>IF(B170="","",IF(F170=0,0,F170*Catálogos!$R$1))</f>
        <v>23.233600996489038</v>
      </c>
      <c r="K170" s="135">
        <f>IF(B170="","",IF(Catálogos!$K$10=1,Carátula!$F$17*Catálogos!$R$4,0))</f>
        <v>0</v>
      </c>
      <c r="L170" s="135">
        <f>IF(B170="","",IF(F170=0,0,CAT!H133))</f>
        <v>0</v>
      </c>
      <c r="M170" s="124"/>
      <c r="N170" s="135">
        <f t="shared" si="17"/>
        <v>0</v>
      </c>
      <c r="O170" s="135">
        <f t="shared" si="16"/>
        <v>7532.0050622067047</v>
      </c>
      <c r="P170" s="135">
        <f t="shared" si="10"/>
        <v>31569.689692103322</v>
      </c>
      <c r="Q170" s="136">
        <f t="shared" si="11"/>
        <v>1</v>
      </c>
    </row>
    <row r="171" spans="2:17" x14ac:dyDescent="0.25">
      <c r="B171" s="131">
        <f t="shared" si="12"/>
        <v>128</v>
      </c>
      <c r="C171" s="132">
        <f ca="1">IF(B171="","",'Fecha Pago'!K131)</f>
        <v>49585</v>
      </c>
      <c r="D171" s="133">
        <f>IF(B171="","",'Fecha Pago'!L131)</f>
        <v>30.4</v>
      </c>
      <c r="E171" s="134">
        <f t="shared" si="9"/>
        <v>9.3799999999999994E-2</v>
      </c>
      <c r="F171" s="135">
        <f t="shared" si="13"/>
        <v>31569.689692103322</v>
      </c>
      <c r="G171" s="135">
        <f>IF(B171="","",IF(F171=0,0,MIN(F171,IF(Catálogos!$N$6=1,Prepagos!C130,IF(Catálogos!$N$6=2,Prepagos!D130,IF(Catálogos!$N$6=3,Prepagos!E130,))))))</f>
        <v>7209.6365843738395</v>
      </c>
      <c r="H171" s="135">
        <f t="shared" si="14"/>
        <v>250.0600043078513</v>
      </c>
      <c r="I171" s="135">
        <f t="shared" si="15"/>
        <v>40.00960068925621</v>
      </c>
      <c r="J171" s="135">
        <f>IF(B171="","",IF(F171=0,0,F171*Catálogos!$R$1))</f>
        <v>18.941813815261991</v>
      </c>
      <c r="K171" s="135">
        <f>IF(B171="","",IF(Catálogos!$K$10=1,Carátula!$F$17*Catálogos!$R$4,0))</f>
        <v>0</v>
      </c>
      <c r="L171" s="135">
        <f>IF(B171="","",IF(F171=0,0,CAT!H134))</f>
        <v>0</v>
      </c>
      <c r="M171" s="124"/>
      <c r="N171" s="135">
        <f t="shared" si="17"/>
        <v>0</v>
      </c>
      <c r="O171" s="135">
        <f t="shared" si="16"/>
        <v>7518.6480031862093</v>
      </c>
      <c r="P171" s="135">
        <f t="shared" si="10"/>
        <v>24360.053107729484</v>
      </c>
      <c r="Q171" s="136">
        <f t="shared" si="11"/>
        <v>1</v>
      </c>
    </row>
    <row r="172" spans="2:17" x14ac:dyDescent="0.25">
      <c r="B172" s="131">
        <f t="shared" si="12"/>
        <v>129</v>
      </c>
      <c r="C172" s="132">
        <f ca="1">IF(B172="","",'Fecha Pago'!K132)</f>
        <v>49616</v>
      </c>
      <c r="D172" s="133">
        <f>IF(B172="","",'Fecha Pago'!L132)</f>
        <v>30.4</v>
      </c>
      <c r="E172" s="134">
        <f t="shared" ref="E172:E235" si="18">IF(B172="","",$E$39)</f>
        <v>9.3799999999999994E-2</v>
      </c>
      <c r="F172" s="135">
        <f t="shared" si="13"/>
        <v>24360.053107729484</v>
      </c>
      <c r="G172" s="135">
        <f>IF(B172="","",IF(F172=0,0,MIN(F172,IF(Catálogos!$N$6=1,Prepagos!C131,IF(Catálogos!$N$6=2,Prepagos!D131,IF(Catálogos!$N$6=3,Prepagos!E131,))))))</f>
        <v>7266.743314687933</v>
      </c>
      <c r="H172" s="135">
        <f t="shared" si="14"/>
        <v>192.9532739937577</v>
      </c>
      <c r="I172" s="135">
        <f t="shared" si="15"/>
        <v>30.872523839001232</v>
      </c>
      <c r="J172" s="135">
        <f>IF(B172="","",IF(F172=0,0,F172*Catálogos!$R$1))</f>
        <v>14.616031864637689</v>
      </c>
      <c r="K172" s="135">
        <f>IF(B172="","",IF(Catálogos!$K$10=1,Carátula!$F$17*Catálogos!$R$4,0))</f>
        <v>0</v>
      </c>
      <c r="L172" s="135">
        <f>IF(B172="","",IF(F172=0,0,CAT!H135))</f>
        <v>0</v>
      </c>
      <c r="M172" s="124"/>
      <c r="N172" s="135">
        <f t="shared" si="17"/>
        <v>0</v>
      </c>
      <c r="O172" s="135">
        <f t="shared" si="16"/>
        <v>7505.1851443853302</v>
      </c>
      <c r="P172" s="135">
        <f t="shared" ref="P172:P235" si="19">IF(B172="","",F172-G172)</f>
        <v>17093.30979304155</v>
      </c>
      <c r="Q172" s="136">
        <f t="shared" ref="Q172:Q235" si="20">IF(OR(B172="",F172=0),"",1)</f>
        <v>1</v>
      </c>
    </row>
    <row r="173" spans="2:17" x14ac:dyDescent="0.25">
      <c r="B173" s="131">
        <f t="shared" ref="B173:B236" si="21">IF(B172=$H$29,"",IF(B172="","",B172+1))</f>
        <v>130</v>
      </c>
      <c r="C173" s="132">
        <f ca="1">IF(B173="","",'Fecha Pago'!K133)</f>
        <v>49646</v>
      </c>
      <c r="D173" s="133">
        <f>IF(B173="","",'Fecha Pago'!L133)</f>
        <v>30.4</v>
      </c>
      <c r="E173" s="134">
        <f t="shared" si="18"/>
        <v>9.3799999999999994E-2</v>
      </c>
      <c r="F173" s="135">
        <f t="shared" ref="F173:F236" si="22">IF(B173="","",P172)</f>
        <v>17093.30979304155</v>
      </c>
      <c r="G173" s="135">
        <f>IF(B173="","",IF(F173=0,0,MIN(F173,IF(Catálogos!$N$6=1,Prepagos!C132,IF(Catálogos!$N$6=2,Prepagos!D132,IF(Catálogos!$N$6=3,Prepagos!E132,))))))</f>
        <v>7324.3023810676523</v>
      </c>
      <c r="H173" s="135">
        <f t="shared" ref="H173:H236" si="23">IF(B173="","",IF(F173=0,0,(E173/360*D173)*F173))</f>
        <v>135.39420761403844</v>
      </c>
      <c r="I173" s="135">
        <f t="shared" ref="I173:I236" si="24">IF(B173="","",IF($I$43&lt;&gt;"",H173*0.16,0))</f>
        <v>21.663073218246151</v>
      </c>
      <c r="J173" s="135">
        <f>IF(B173="","",IF(F173=0,0,F173*Catálogos!$R$1))</f>
        <v>10.255985875824928</v>
      </c>
      <c r="K173" s="135">
        <f>IF(B173="","",IF(Catálogos!$K$10=1,Carátula!$F$17*Catálogos!$R$4,0))</f>
        <v>0</v>
      </c>
      <c r="L173" s="135">
        <f>IF(B173="","",IF(F173=0,0,CAT!H136))</f>
        <v>0</v>
      </c>
      <c r="M173" s="124"/>
      <c r="N173" s="135">
        <f t="shared" si="17"/>
        <v>0</v>
      </c>
      <c r="O173" s="135">
        <f t="shared" ref="O173:O236" si="25">IF(B173="","",G173+H173+I173+J173+K173+L173)</f>
        <v>7491.6156477757613</v>
      </c>
      <c r="P173" s="135">
        <f t="shared" si="19"/>
        <v>9769.0074119738965</v>
      </c>
      <c r="Q173" s="136">
        <f t="shared" si="20"/>
        <v>1</v>
      </c>
    </row>
    <row r="174" spans="2:17" x14ac:dyDescent="0.25">
      <c r="B174" s="131">
        <f t="shared" si="21"/>
        <v>131</v>
      </c>
      <c r="C174" s="132">
        <f ca="1">IF(B174="","",'Fecha Pago'!K134)</f>
        <v>49677</v>
      </c>
      <c r="D174" s="133">
        <f>IF(B174="","",'Fecha Pago'!L134)</f>
        <v>30.4</v>
      </c>
      <c r="E174" s="134">
        <f t="shared" si="18"/>
        <v>9.3799999999999994E-2</v>
      </c>
      <c r="F174" s="135">
        <f t="shared" si="22"/>
        <v>9769.0074119738965</v>
      </c>
      <c r="G174" s="135">
        <f>IF(B174="","",IF(F174=0,0,MIN(F174,IF(Catálogos!$N$6=1,Prepagos!C133,IF(Catálogos!$N$6=2,Prepagos!D133,IF(Catálogos!$N$6=3,Prepagos!E133,))))))</f>
        <v>7382.3173664167134</v>
      </c>
      <c r="H174" s="135">
        <f t="shared" si="23"/>
        <v>77.37922226497723</v>
      </c>
      <c r="I174" s="135">
        <f t="shared" si="24"/>
        <v>12.380675562396357</v>
      </c>
      <c r="J174" s="135">
        <f>IF(B174="","",IF(F174=0,0,F174*Catálogos!$R$1))</f>
        <v>5.8614044471843378</v>
      </c>
      <c r="K174" s="135">
        <f>IF(B174="","",IF(Catálogos!$K$10=1,Carátula!$F$17*Catálogos!$R$4,0))</f>
        <v>0</v>
      </c>
      <c r="L174" s="135">
        <f>IF(B174="","",IF(F174=0,0,CAT!H137))</f>
        <v>0</v>
      </c>
      <c r="M174" s="124"/>
      <c r="N174" s="135">
        <f t="shared" si="17"/>
        <v>0</v>
      </c>
      <c r="O174" s="135">
        <f t="shared" si="25"/>
        <v>7477.9386686912712</v>
      </c>
      <c r="P174" s="135">
        <f t="shared" si="19"/>
        <v>2386.6900455571831</v>
      </c>
      <c r="Q174" s="136">
        <f t="shared" si="20"/>
        <v>1</v>
      </c>
    </row>
    <row r="175" spans="2:17" x14ac:dyDescent="0.25">
      <c r="B175" s="131">
        <f t="shared" si="21"/>
        <v>132</v>
      </c>
      <c r="C175" s="132">
        <f ca="1">IF(B175="","",'Fecha Pago'!K135)</f>
        <v>49708</v>
      </c>
      <c r="D175" s="133">
        <f>IF(B175="","",'Fecha Pago'!L135)</f>
        <v>30.4</v>
      </c>
      <c r="E175" s="134">
        <f t="shared" si="18"/>
        <v>9.3799999999999994E-2</v>
      </c>
      <c r="F175" s="135">
        <f t="shared" si="22"/>
        <v>2386.6900455571831</v>
      </c>
      <c r="G175" s="135">
        <f>IF(B175="","",IF(F175=0,0,MIN(F175,IF(Catálogos!$N$6=1,Prepagos!C134,IF(Catálogos!$N$6=2,Prepagos!D134,IF(Catálogos!$N$6=3,Prepagos!E134,))))))</f>
        <v>2386.6900455571831</v>
      </c>
      <c r="H175" s="135">
        <f t="shared" si="23"/>
        <v>18.904706663075608</v>
      </c>
      <c r="I175" s="135">
        <f t="shared" si="24"/>
        <v>3.0247530660920972</v>
      </c>
      <c r="J175" s="135">
        <f>IF(B175="","",IF(F175=0,0,F175*Catálogos!$R$1))</f>
        <v>1.4320140273343098</v>
      </c>
      <c r="K175" s="135">
        <f>IF(B175="","",IF(Catálogos!$K$10=1,Carátula!$F$17*Catálogos!$R$4,0))</f>
        <v>0</v>
      </c>
      <c r="L175" s="135">
        <f>IF(B175="","",IF(F175=0,0,CAT!H138))</f>
        <v>0</v>
      </c>
      <c r="M175" s="124"/>
      <c r="N175" s="135">
        <f t="shared" si="17"/>
        <v>0</v>
      </c>
      <c r="O175" s="135">
        <f t="shared" si="25"/>
        <v>2410.0515193136853</v>
      </c>
      <c r="P175" s="135">
        <f t="shared" si="19"/>
        <v>0</v>
      </c>
      <c r="Q175" s="136">
        <f t="shared" si="20"/>
        <v>1</v>
      </c>
    </row>
    <row r="176" spans="2:17" x14ac:dyDescent="0.25">
      <c r="B176" s="131">
        <f t="shared" si="21"/>
        <v>133</v>
      </c>
      <c r="C176" s="132">
        <f ca="1">IF(B176="","",'Fecha Pago'!K136)</f>
        <v>49737</v>
      </c>
      <c r="D176" s="133">
        <f>IF(B176="","",'Fecha Pago'!L136)</f>
        <v>30.4</v>
      </c>
      <c r="E176" s="134">
        <f t="shared" si="18"/>
        <v>9.3799999999999994E-2</v>
      </c>
      <c r="F176" s="135">
        <f t="shared" si="22"/>
        <v>0</v>
      </c>
      <c r="G176" s="135">
        <f>IF(B176="","",IF(F176=0,0,MIN(F176,IF(Catálogos!$N$6=1,Prepagos!C135,IF(Catálogos!$N$6=2,Prepagos!D135,IF(Catálogos!$N$6=3,Prepagos!E135,))))))</f>
        <v>0</v>
      </c>
      <c r="H176" s="135">
        <f t="shared" si="23"/>
        <v>0</v>
      </c>
      <c r="I176" s="135">
        <f t="shared" si="24"/>
        <v>0</v>
      </c>
      <c r="J176" s="135">
        <f>IF(B176="","",IF(F176=0,0,F176*Catálogos!$R$1))</f>
        <v>0</v>
      </c>
      <c r="K176" s="135">
        <f>IF(B176="","",IF(Catálogos!$K$10=1,Carátula!$F$17*Catálogos!$R$4,0))</f>
        <v>0</v>
      </c>
      <c r="L176" s="135">
        <f>IF(B176="","",IF(F176=0,0,CAT!H139))</f>
        <v>0</v>
      </c>
      <c r="M176" s="124"/>
      <c r="N176" s="135">
        <f t="shared" si="17"/>
        <v>0</v>
      </c>
      <c r="O176" s="135">
        <f t="shared" si="25"/>
        <v>0</v>
      </c>
      <c r="P176" s="135">
        <f t="shared" si="19"/>
        <v>0</v>
      </c>
      <c r="Q176" s="136" t="str">
        <f t="shared" si="20"/>
        <v/>
      </c>
    </row>
    <row r="177" spans="2:17" x14ac:dyDescent="0.25">
      <c r="B177" s="131">
        <f t="shared" si="21"/>
        <v>134</v>
      </c>
      <c r="C177" s="132">
        <f ca="1">IF(B177="","",'Fecha Pago'!K137)</f>
        <v>49768</v>
      </c>
      <c r="D177" s="133">
        <f>IF(B177="","",'Fecha Pago'!L137)</f>
        <v>30.4</v>
      </c>
      <c r="E177" s="134">
        <f t="shared" si="18"/>
        <v>9.3799999999999994E-2</v>
      </c>
      <c r="F177" s="135">
        <f t="shared" si="22"/>
        <v>0</v>
      </c>
      <c r="G177" s="135">
        <f>IF(B177="","",IF(F177=0,0,MIN(F177,IF(Catálogos!$N$6=1,Prepagos!C136,IF(Catálogos!$N$6=2,Prepagos!D136,IF(Catálogos!$N$6=3,Prepagos!E136,))))))</f>
        <v>0</v>
      </c>
      <c r="H177" s="135">
        <f t="shared" si="23"/>
        <v>0</v>
      </c>
      <c r="I177" s="135">
        <f t="shared" si="24"/>
        <v>0</v>
      </c>
      <c r="J177" s="135">
        <f>IF(B177="","",IF(F177=0,0,F177*Catálogos!$R$1))</f>
        <v>0</v>
      </c>
      <c r="K177" s="135">
        <f>IF(B177="","",IF(Catálogos!$K$10=1,Carátula!$F$17*Catálogos!$R$4,0))</f>
        <v>0</v>
      </c>
      <c r="L177" s="135">
        <f>IF(B177="","",IF(F177=0,0,CAT!H140))</f>
        <v>0</v>
      </c>
      <c r="M177" s="124"/>
      <c r="N177" s="135">
        <f t="shared" si="17"/>
        <v>0</v>
      </c>
      <c r="O177" s="135">
        <f t="shared" si="25"/>
        <v>0</v>
      </c>
      <c r="P177" s="135">
        <f t="shared" si="19"/>
        <v>0</v>
      </c>
      <c r="Q177" s="136" t="str">
        <f t="shared" si="20"/>
        <v/>
      </c>
    </row>
    <row r="178" spans="2:17" x14ac:dyDescent="0.25">
      <c r="B178" s="131">
        <f t="shared" si="21"/>
        <v>135</v>
      </c>
      <c r="C178" s="132">
        <f ca="1">IF(B178="","",'Fecha Pago'!K138)</f>
        <v>49798</v>
      </c>
      <c r="D178" s="133">
        <f>IF(B178="","",'Fecha Pago'!L138)</f>
        <v>30.4</v>
      </c>
      <c r="E178" s="134">
        <f t="shared" si="18"/>
        <v>9.3799999999999994E-2</v>
      </c>
      <c r="F178" s="135">
        <f t="shared" si="22"/>
        <v>0</v>
      </c>
      <c r="G178" s="135">
        <f>IF(B178="","",IF(F178=0,0,MIN(F178,IF(Catálogos!$N$6=1,Prepagos!C137,IF(Catálogos!$N$6=2,Prepagos!D137,IF(Catálogos!$N$6=3,Prepagos!E137,))))))</f>
        <v>0</v>
      </c>
      <c r="H178" s="135">
        <f t="shared" si="23"/>
        <v>0</v>
      </c>
      <c r="I178" s="135">
        <f t="shared" si="24"/>
        <v>0</v>
      </c>
      <c r="J178" s="135">
        <f>IF(B178="","",IF(F178=0,0,F178*Catálogos!$R$1))</f>
        <v>0</v>
      </c>
      <c r="K178" s="135">
        <f>IF(B178="","",IF(Catálogos!$K$10=1,Carátula!$F$17*Catálogos!$R$4,0))</f>
        <v>0</v>
      </c>
      <c r="L178" s="135">
        <f>IF(B178="","",IF(F178=0,0,CAT!H141))</f>
        <v>0</v>
      </c>
      <c r="M178" s="124"/>
      <c r="N178" s="135">
        <f t="shared" si="17"/>
        <v>0</v>
      </c>
      <c r="O178" s="135">
        <f t="shared" si="25"/>
        <v>0</v>
      </c>
      <c r="P178" s="135">
        <f t="shared" si="19"/>
        <v>0</v>
      </c>
      <c r="Q178" s="136" t="str">
        <f t="shared" si="20"/>
        <v/>
      </c>
    </row>
    <row r="179" spans="2:17" x14ac:dyDescent="0.25">
      <c r="B179" s="131">
        <f t="shared" si="21"/>
        <v>136</v>
      </c>
      <c r="C179" s="132">
        <f ca="1">IF(B179="","",'Fecha Pago'!K139)</f>
        <v>49829</v>
      </c>
      <c r="D179" s="133">
        <f>IF(B179="","",'Fecha Pago'!L139)</f>
        <v>30.4</v>
      </c>
      <c r="E179" s="134">
        <f t="shared" si="18"/>
        <v>9.3799999999999994E-2</v>
      </c>
      <c r="F179" s="135">
        <f t="shared" si="22"/>
        <v>0</v>
      </c>
      <c r="G179" s="135">
        <f>IF(B179="","",IF(F179=0,0,MIN(F179,IF(Catálogos!$N$6=1,Prepagos!C138,IF(Catálogos!$N$6=2,Prepagos!D138,IF(Catálogos!$N$6=3,Prepagos!E138,))))))</f>
        <v>0</v>
      </c>
      <c r="H179" s="135">
        <f t="shared" si="23"/>
        <v>0</v>
      </c>
      <c r="I179" s="135">
        <f t="shared" si="24"/>
        <v>0</v>
      </c>
      <c r="J179" s="135">
        <f>IF(B179="","",IF(F179=0,0,F179*Catálogos!$R$1))</f>
        <v>0</v>
      </c>
      <c r="K179" s="135">
        <f>IF(B179="","",IF(Catálogos!$K$10=1,Carátula!$F$17*Catálogos!$R$4,0))</f>
        <v>0</v>
      </c>
      <c r="L179" s="135">
        <f>IF(B179="","",IF(F179=0,0,CAT!H142))</f>
        <v>0</v>
      </c>
      <c r="M179" s="124"/>
      <c r="N179" s="135">
        <f t="shared" si="17"/>
        <v>0</v>
      </c>
      <c r="O179" s="135">
        <f t="shared" si="25"/>
        <v>0</v>
      </c>
      <c r="P179" s="135">
        <f t="shared" si="19"/>
        <v>0</v>
      </c>
      <c r="Q179" s="136" t="str">
        <f t="shared" si="20"/>
        <v/>
      </c>
    </row>
    <row r="180" spans="2:17" x14ac:dyDescent="0.25">
      <c r="B180" s="131">
        <f t="shared" si="21"/>
        <v>137</v>
      </c>
      <c r="C180" s="132">
        <f ca="1">IF(B180="","",'Fecha Pago'!K140)</f>
        <v>49859</v>
      </c>
      <c r="D180" s="133">
        <f>IF(B180="","",'Fecha Pago'!L140)</f>
        <v>30.4</v>
      </c>
      <c r="E180" s="134">
        <f t="shared" si="18"/>
        <v>9.3799999999999994E-2</v>
      </c>
      <c r="F180" s="135">
        <f t="shared" si="22"/>
        <v>0</v>
      </c>
      <c r="G180" s="135">
        <f>IF(B180="","",IF(F180=0,0,MIN(F180,IF(Catálogos!$N$6=1,Prepagos!C139,IF(Catálogos!$N$6=2,Prepagos!D139,IF(Catálogos!$N$6=3,Prepagos!E139,))))))</f>
        <v>0</v>
      </c>
      <c r="H180" s="135">
        <f t="shared" si="23"/>
        <v>0</v>
      </c>
      <c r="I180" s="135">
        <f t="shared" si="24"/>
        <v>0</v>
      </c>
      <c r="J180" s="135">
        <f>IF(B180="","",IF(F180=0,0,F180*Catálogos!$R$1))</f>
        <v>0</v>
      </c>
      <c r="K180" s="135">
        <f>IF(B180="","",IF(Catálogos!$K$10=1,Carátula!$F$17*Catálogos!$R$4,0))</f>
        <v>0</v>
      </c>
      <c r="L180" s="135">
        <f>IF(B180="","",IF(F180=0,0,CAT!H143))</f>
        <v>0</v>
      </c>
      <c r="M180" s="124"/>
      <c r="N180" s="135">
        <f t="shared" si="17"/>
        <v>0</v>
      </c>
      <c r="O180" s="135">
        <f t="shared" si="25"/>
        <v>0</v>
      </c>
      <c r="P180" s="135">
        <f t="shared" si="19"/>
        <v>0</v>
      </c>
      <c r="Q180" s="136" t="str">
        <f t="shared" si="20"/>
        <v/>
      </c>
    </row>
    <row r="181" spans="2:17" x14ac:dyDescent="0.25">
      <c r="B181" s="131">
        <f t="shared" si="21"/>
        <v>138</v>
      </c>
      <c r="C181" s="132">
        <f ca="1">IF(B181="","",'Fecha Pago'!K141)</f>
        <v>49890</v>
      </c>
      <c r="D181" s="133">
        <f>IF(B181="","",'Fecha Pago'!L141)</f>
        <v>30.4</v>
      </c>
      <c r="E181" s="134">
        <f t="shared" si="18"/>
        <v>9.3799999999999994E-2</v>
      </c>
      <c r="F181" s="135">
        <f t="shared" si="22"/>
        <v>0</v>
      </c>
      <c r="G181" s="135">
        <f>IF(B181="","",IF(F181=0,0,MIN(F181,IF(Catálogos!$N$6=1,Prepagos!C140,IF(Catálogos!$N$6=2,Prepagos!D140,IF(Catálogos!$N$6=3,Prepagos!E140,))))))</f>
        <v>0</v>
      </c>
      <c r="H181" s="135">
        <f t="shared" si="23"/>
        <v>0</v>
      </c>
      <c r="I181" s="135">
        <f t="shared" si="24"/>
        <v>0</v>
      </c>
      <c r="J181" s="135">
        <f>IF(B181="","",IF(F181=0,0,F181*Catálogos!$R$1))</f>
        <v>0</v>
      </c>
      <c r="K181" s="135">
        <f>IF(B181="","",IF(Catálogos!$K$10=1,Carátula!$F$17*Catálogos!$R$4,0))</f>
        <v>0</v>
      </c>
      <c r="L181" s="135">
        <f>IF(B181="","",IF(F181=0,0,CAT!H144))</f>
        <v>0</v>
      </c>
      <c r="M181" s="124"/>
      <c r="N181" s="135">
        <f t="shared" si="17"/>
        <v>0</v>
      </c>
      <c r="O181" s="135">
        <f t="shared" si="25"/>
        <v>0</v>
      </c>
      <c r="P181" s="135">
        <f t="shared" si="19"/>
        <v>0</v>
      </c>
      <c r="Q181" s="136" t="str">
        <f t="shared" si="20"/>
        <v/>
      </c>
    </row>
    <row r="182" spans="2:17" x14ac:dyDescent="0.25">
      <c r="B182" s="131">
        <f t="shared" si="21"/>
        <v>139</v>
      </c>
      <c r="C182" s="132">
        <f ca="1">IF(B182="","",'Fecha Pago'!K142)</f>
        <v>49921</v>
      </c>
      <c r="D182" s="133">
        <f>IF(B182="","",'Fecha Pago'!L142)</f>
        <v>30.4</v>
      </c>
      <c r="E182" s="134">
        <f t="shared" si="18"/>
        <v>9.3799999999999994E-2</v>
      </c>
      <c r="F182" s="135">
        <f t="shared" si="22"/>
        <v>0</v>
      </c>
      <c r="G182" s="135">
        <f>IF(B182="","",IF(F182=0,0,MIN(F182,IF(Catálogos!$N$6=1,Prepagos!C141,IF(Catálogos!$N$6=2,Prepagos!D141,IF(Catálogos!$N$6=3,Prepagos!E141,))))))</f>
        <v>0</v>
      </c>
      <c r="H182" s="135">
        <f t="shared" si="23"/>
        <v>0</v>
      </c>
      <c r="I182" s="135">
        <f t="shared" si="24"/>
        <v>0</v>
      </c>
      <c r="J182" s="135">
        <f>IF(B182="","",IF(F182=0,0,F182*Catálogos!$R$1))</f>
        <v>0</v>
      </c>
      <c r="K182" s="135">
        <f>IF(B182="","",IF(Catálogos!$K$10=1,Carátula!$F$17*Catálogos!$R$4,0))</f>
        <v>0</v>
      </c>
      <c r="L182" s="135">
        <f>IF(B182="","",IF(F182=0,0,CAT!H145))</f>
        <v>0</v>
      </c>
      <c r="M182" s="124"/>
      <c r="N182" s="135">
        <f t="shared" si="17"/>
        <v>0</v>
      </c>
      <c r="O182" s="135">
        <f t="shared" si="25"/>
        <v>0</v>
      </c>
      <c r="P182" s="135">
        <f t="shared" si="19"/>
        <v>0</v>
      </c>
      <c r="Q182" s="136" t="str">
        <f t="shared" si="20"/>
        <v/>
      </c>
    </row>
    <row r="183" spans="2:17" x14ac:dyDescent="0.25">
      <c r="B183" s="131">
        <f t="shared" si="21"/>
        <v>140</v>
      </c>
      <c r="C183" s="132">
        <f ca="1">IF(B183="","",'Fecha Pago'!K143)</f>
        <v>49951</v>
      </c>
      <c r="D183" s="133">
        <f>IF(B183="","",'Fecha Pago'!L143)</f>
        <v>30.4</v>
      </c>
      <c r="E183" s="134">
        <f t="shared" si="18"/>
        <v>9.3799999999999994E-2</v>
      </c>
      <c r="F183" s="135">
        <f t="shared" si="22"/>
        <v>0</v>
      </c>
      <c r="G183" s="135">
        <f>IF(B183="","",IF(F183=0,0,MIN(F183,IF(Catálogos!$N$6=1,Prepagos!C142,IF(Catálogos!$N$6=2,Prepagos!D142,IF(Catálogos!$N$6=3,Prepagos!E142,))))))</f>
        <v>0</v>
      </c>
      <c r="H183" s="135">
        <f t="shared" si="23"/>
        <v>0</v>
      </c>
      <c r="I183" s="135">
        <f t="shared" si="24"/>
        <v>0</v>
      </c>
      <c r="J183" s="135">
        <f>IF(B183="","",IF(F183=0,0,F183*Catálogos!$R$1))</f>
        <v>0</v>
      </c>
      <c r="K183" s="135">
        <f>IF(B183="","",IF(Catálogos!$K$10=1,Carátula!$F$17*Catálogos!$R$4,0))</f>
        <v>0</v>
      </c>
      <c r="L183" s="135">
        <f>IF(B183="","",IF(F183=0,0,CAT!H146))</f>
        <v>0</v>
      </c>
      <c r="M183" s="124"/>
      <c r="N183" s="135">
        <f t="shared" si="17"/>
        <v>0</v>
      </c>
      <c r="O183" s="135">
        <f t="shared" si="25"/>
        <v>0</v>
      </c>
      <c r="P183" s="135">
        <f t="shared" si="19"/>
        <v>0</v>
      </c>
      <c r="Q183" s="136" t="str">
        <f t="shared" si="20"/>
        <v/>
      </c>
    </row>
    <row r="184" spans="2:17" x14ac:dyDescent="0.25">
      <c r="B184" s="131">
        <f t="shared" si="21"/>
        <v>141</v>
      </c>
      <c r="C184" s="132">
        <f ca="1">IF(B184="","",'Fecha Pago'!K144)</f>
        <v>49982</v>
      </c>
      <c r="D184" s="133">
        <f>IF(B184="","",'Fecha Pago'!L144)</f>
        <v>30.4</v>
      </c>
      <c r="E184" s="134">
        <f t="shared" si="18"/>
        <v>9.3799999999999994E-2</v>
      </c>
      <c r="F184" s="135">
        <f t="shared" si="22"/>
        <v>0</v>
      </c>
      <c r="G184" s="135">
        <f>IF(B184="","",IF(F184=0,0,MIN(F184,IF(Catálogos!$N$6=1,Prepagos!C143,IF(Catálogos!$N$6=2,Prepagos!D143,IF(Catálogos!$N$6=3,Prepagos!E143,))))))</f>
        <v>0</v>
      </c>
      <c r="H184" s="135">
        <f t="shared" si="23"/>
        <v>0</v>
      </c>
      <c r="I184" s="135">
        <f t="shared" si="24"/>
        <v>0</v>
      </c>
      <c r="J184" s="135">
        <f>IF(B184="","",IF(F184=0,0,F184*Catálogos!$R$1))</f>
        <v>0</v>
      </c>
      <c r="K184" s="135">
        <f>IF(B184="","",IF(Catálogos!$K$10=1,Carátula!$F$17*Catálogos!$R$4,0))</f>
        <v>0</v>
      </c>
      <c r="L184" s="135">
        <f>IF(B184="","",IF(F184=0,0,CAT!H147))</f>
        <v>0</v>
      </c>
      <c r="M184" s="124"/>
      <c r="N184" s="135">
        <f t="shared" si="17"/>
        <v>0</v>
      </c>
      <c r="O184" s="135">
        <f t="shared" si="25"/>
        <v>0</v>
      </c>
      <c r="P184" s="135">
        <f t="shared" si="19"/>
        <v>0</v>
      </c>
      <c r="Q184" s="136" t="str">
        <f t="shared" si="20"/>
        <v/>
      </c>
    </row>
    <row r="185" spans="2:17" x14ac:dyDescent="0.25">
      <c r="B185" s="131">
        <f t="shared" si="21"/>
        <v>142</v>
      </c>
      <c r="C185" s="132">
        <f ca="1">IF(B185="","",'Fecha Pago'!K145)</f>
        <v>50012</v>
      </c>
      <c r="D185" s="133">
        <f>IF(B185="","",'Fecha Pago'!L145)</f>
        <v>30.4</v>
      </c>
      <c r="E185" s="134">
        <f t="shared" si="18"/>
        <v>9.3799999999999994E-2</v>
      </c>
      <c r="F185" s="135">
        <f t="shared" si="22"/>
        <v>0</v>
      </c>
      <c r="G185" s="135">
        <f>IF(B185="","",IF(F185=0,0,MIN(F185,IF(Catálogos!$N$6=1,Prepagos!C144,IF(Catálogos!$N$6=2,Prepagos!D144,IF(Catálogos!$N$6=3,Prepagos!E144,))))))</f>
        <v>0</v>
      </c>
      <c r="H185" s="135">
        <f t="shared" si="23"/>
        <v>0</v>
      </c>
      <c r="I185" s="135">
        <f t="shared" si="24"/>
        <v>0</v>
      </c>
      <c r="J185" s="135">
        <f>IF(B185="","",IF(F185=0,0,F185*Catálogos!$R$1))</f>
        <v>0</v>
      </c>
      <c r="K185" s="135">
        <f>IF(B185="","",IF(Catálogos!$K$10=1,Carátula!$F$17*Catálogos!$R$4,0))</f>
        <v>0</v>
      </c>
      <c r="L185" s="135">
        <f>IF(B185="","",IF(F185=0,0,CAT!H148))</f>
        <v>0</v>
      </c>
      <c r="M185" s="124"/>
      <c r="N185" s="135">
        <f t="shared" si="17"/>
        <v>0</v>
      </c>
      <c r="O185" s="135">
        <f t="shared" si="25"/>
        <v>0</v>
      </c>
      <c r="P185" s="135">
        <f t="shared" si="19"/>
        <v>0</v>
      </c>
      <c r="Q185" s="136" t="str">
        <f t="shared" si="20"/>
        <v/>
      </c>
    </row>
    <row r="186" spans="2:17" x14ac:dyDescent="0.25">
      <c r="B186" s="131">
        <f t="shared" si="21"/>
        <v>143</v>
      </c>
      <c r="C186" s="132">
        <f ca="1">IF(B186="","",'Fecha Pago'!K146)</f>
        <v>50043</v>
      </c>
      <c r="D186" s="133">
        <f>IF(B186="","",'Fecha Pago'!L146)</f>
        <v>30.4</v>
      </c>
      <c r="E186" s="134">
        <f t="shared" si="18"/>
        <v>9.3799999999999994E-2</v>
      </c>
      <c r="F186" s="135">
        <f t="shared" si="22"/>
        <v>0</v>
      </c>
      <c r="G186" s="135">
        <f>IF(B186="","",IF(F186=0,0,MIN(F186,IF(Catálogos!$N$6=1,Prepagos!C145,IF(Catálogos!$N$6=2,Prepagos!D145,IF(Catálogos!$N$6=3,Prepagos!E145,))))))</f>
        <v>0</v>
      </c>
      <c r="H186" s="135">
        <f t="shared" si="23"/>
        <v>0</v>
      </c>
      <c r="I186" s="135">
        <f t="shared" si="24"/>
        <v>0</v>
      </c>
      <c r="J186" s="135">
        <f>IF(B186="","",IF(F186=0,0,F186*Catálogos!$R$1))</f>
        <v>0</v>
      </c>
      <c r="K186" s="135">
        <f>IF(B186="","",IF(Catálogos!$K$10=1,Carátula!$F$17*Catálogos!$R$4,0))</f>
        <v>0</v>
      </c>
      <c r="L186" s="135">
        <f>IF(B186="","",IF(F186=0,0,CAT!H149))</f>
        <v>0</v>
      </c>
      <c r="M186" s="124"/>
      <c r="N186" s="135">
        <f t="shared" si="17"/>
        <v>0</v>
      </c>
      <c r="O186" s="135">
        <f t="shared" si="25"/>
        <v>0</v>
      </c>
      <c r="P186" s="135">
        <f t="shared" si="19"/>
        <v>0</v>
      </c>
      <c r="Q186" s="136" t="str">
        <f t="shared" si="20"/>
        <v/>
      </c>
    </row>
    <row r="187" spans="2:17" x14ac:dyDescent="0.25">
      <c r="B187" s="131">
        <f t="shared" si="21"/>
        <v>144</v>
      </c>
      <c r="C187" s="132">
        <f ca="1">IF(B187="","",'Fecha Pago'!K147)</f>
        <v>50074</v>
      </c>
      <c r="D187" s="133">
        <f>IF(B187="","",'Fecha Pago'!L147)</f>
        <v>30.4</v>
      </c>
      <c r="E187" s="134">
        <f t="shared" si="18"/>
        <v>9.3799999999999994E-2</v>
      </c>
      <c r="F187" s="135">
        <f t="shared" si="22"/>
        <v>0</v>
      </c>
      <c r="G187" s="135">
        <f>IF(B187="","",IF(F187=0,0,MIN(F187,IF(Catálogos!$N$6=1,Prepagos!C146,IF(Catálogos!$N$6=2,Prepagos!D146,IF(Catálogos!$N$6=3,Prepagos!E146,))))))</f>
        <v>0</v>
      </c>
      <c r="H187" s="135">
        <f t="shared" si="23"/>
        <v>0</v>
      </c>
      <c r="I187" s="135">
        <f t="shared" si="24"/>
        <v>0</v>
      </c>
      <c r="J187" s="135">
        <f>IF(B187="","",IF(F187=0,0,F187*Catálogos!$R$1))</f>
        <v>0</v>
      </c>
      <c r="K187" s="135">
        <f>IF(B187="","",IF(Catálogos!$K$10=1,Carátula!$F$17*Catálogos!$R$4,0))</f>
        <v>0</v>
      </c>
      <c r="L187" s="135">
        <f>IF(B187="","",IF(F187=0,0,CAT!H150))</f>
        <v>0</v>
      </c>
      <c r="M187" s="124"/>
      <c r="N187" s="135">
        <f t="shared" si="17"/>
        <v>0</v>
      </c>
      <c r="O187" s="135">
        <f t="shared" si="25"/>
        <v>0</v>
      </c>
      <c r="P187" s="135">
        <f t="shared" si="19"/>
        <v>0</v>
      </c>
      <c r="Q187" s="136" t="str">
        <f t="shared" si="20"/>
        <v/>
      </c>
    </row>
    <row r="188" spans="2:17" x14ac:dyDescent="0.25">
      <c r="B188" s="131">
        <f t="shared" si="21"/>
        <v>145</v>
      </c>
      <c r="C188" s="132">
        <f ca="1">IF(B188="","",'Fecha Pago'!K148)</f>
        <v>50102</v>
      </c>
      <c r="D188" s="133">
        <f>IF(B188="","",'Fecha Pago'!L148)</f>
        <v>30.4</v>
      </c>
      <c r="E188" s="134">
        <f t="shared" si="18"/>
        <v>9.3799999999999994E-2</v>
      </c>
      <c r="F188" s="135">
        <f t="shared" si="22"/>
        <v>0</v>
      </c>
      <c r="G188" s="135">
        <f>IF(B188="","",IF(F188=0,0,MIN(F188,IF(Catálogos!$N$6=1,Prepagos!C147,IF(Catálogos!$N$6=2,Prepagos!D147,IF(Catálogos!$N$6=3,Prepagos!E147,))))))</f>
        <v>0</v>
      </c>
      <c r="H188" s="135">
        <f t="shared" si="23"/>
        <v>0</v>
      </c>
      <c r="I188" s="135">
        <f t="shared" si="24"/>
        <v>0</v>
      </c>
      <c r="J188" s="135">
        <f>IF(B188="","",IF(F188=0,0,F188*Catálogos!$R$1))</f>
        <v>0</v>
      </c>
      <c r="K188" s="135">
        <f>IF(B188="","",IF(Catálogos!$K$10=1,Carátula!$F$17*Catálogos!$R$4,0))</f>
        <v>0</v>
      </c>
      <c r="L188" s="135">
        <f>IF(B188="","",IF(F188=0,0,CAT!H151))</f>
        <v>0</v>
      </c>
      <c r="M188" s="124"/>
      <c r="N188" s="135">
        <f t="shared" si="17"/>
        <v>0</v>
      </c>
      <c r="O188" s="135">
        <f t="shared" si="25"/>
        <v>0</v>
      </c>
      <c r="P188" s="135">
        <f t="shared" si="19"/>
        <v>0</v>
      </c>
      <c r="Q188" s="136" t="str">
        <f t="shared" si="20"/>
        <v/>
      </c>
    </row>
    <row r="189" spans="2:17" x14ac:dyDescent="0.25">
      <c r="B189" s="131">
        <f t="shared" si="21"/>
        <v>146</v>
      </c>
      <c r="C189" s="132">
        <f ca="1">IF(B189="","",'Fecha Pago'!K149)</f>
        <v>50133</v>
      </c>
      <c r="D189" s="133">
        <f>IF(B189="","",'Fecha Pago'!L149)</f>
        <v>30.4</v>
      </c>
      <c r="E189" s="134">
        <f t="shared" si="18"/>
        <v>9.3799999999999994E-2</v>
      </c>
      <c r="F189" s="135">
        <f t="shared" si="22"/>
        <v>0</v>
      </c>
      <c r="G189" s="135">
        <f>IF(B189="","",IF(F189=0,0,MIN(F189,IF(Catálogos!$N$6=1,Prepagos!C148,IF(Catálogos!$N$6=2,Prepagos!D148,IF(Catálogos!$N$6=3,Prepagos!E148,))))))</f>
        <v>0</v>
      </c>
      <c r="H189" s="135">
        <f t="shared" si="23"/>
        <v>0</v>
      </c>
      <c r="I189" s="135">
        <f t="shared" si="24"/>
        <v>0</v>
      </c>
      <c r="J189" s="135">
        <f>IF(B189="","",IF(F189=0,0,F189*Catálogos!$R$1))</f>
        <v>0</v>
      </c>
      <c r="K189" s="135">
        <f>IF(B189="","",IF(Catálogos!$K$10=1,Carátula!$F$17*Catálogos!$R$4,0))</f>
        <v>0</v>
      </c>
      <c r="L189" s="135">
        <f>IF(B189="","",IF(F189=0,0,CAT!H152))</f>
        <v>0</v>
      </c>
      <c r="M189" s="124"/>
      <c r="N189" s="135">
        <f t="shared" si="17"/>
        <v>0</v>
      </c>
      <c r="O189" s="135">
        <f t="shared" si="25"/>
        <v>0</v>
      </c>
      <c r="P189" s="135">
        <f t="shared" si="19"/>
        <v>0</v>
      </c>
      <c r="Q189" s="136" t="str">
        <f t="shared" si="20"/>
        <v/>
      </c>
    </row>
    <row r="190" spans="2:17" x14ac:dyDescent="0.25">
      <c r="B190" s="131">
        <f t="shared" si="21"/>
        <v>147</v>
      </c>
      <c r="C190" s="132">
        <f ca="1">IF(B190="","",'Fecha Pago'!K150)</f>
        <v>50163</v>
      </c>
      <c r="D190" s="133">
        <f>IF(B190="","",'Fecha Pago'!L150)</f>
        <v>30.4</v>
      </c>
      <c r="E190" s="134">
        <f t="shared" si="18"/>
        <v>9.3799999999999994E-2</v>
      </c>
      <c r="F190" s="135">
        <f t="shared" si="22"/>
        <v>0</v>
      </c>
      <c r="G190" s="135">
        <f>IF(B190="","",IF(F190=0,0,MIN(F190,IF(Catálogos!$N$6=1,Prepagos!C149,IF(Catálogos!$N$6=2,Prepagos!D149,IF(Catálogos!$N$6=3,Prepagos!E149,))))))</f>
        <v>0</v>
      </c>
      <c r="H190" s="135">
        <f t="shared" si="23"/>
        <v>0</v>
      </c>
      <c r="I190" s="135">
        <f t="shared" si="24"/>
        <v>0</v>
      </c>
      <c r="J190" s="135">
        <f>IF(B190="","",IF(F190=0,0,F190*Catálogos!$R$1))</f>
        <v>0</v>
      </c>
      <c r="K190" s="135">
        <f>IF(B190="","",IF(Catálogos!$K$10=1,Carátula!$F$17*Catálogos!$R$4,0))</f>
        <v>0</v>
      </c>
      <c r="L190" s="135">
        <f>IF(B190="","",IF(F190=0,0,CAT!H153))</f>
        <v>0</v>
      </c>
      <c r="M190" s="124"/>
      <c r="N190" s="135">
        <f t="shared" si="17"/>
        <v>0</v>
      </c>
      <c r="O190" s="135">
        <f t="shared" si="25"/>
        <v>0</v>
      </c>
      <c r="P190" s="135">
        <f t="shared" si="19"/>
        <v>0</v>
      </c>
      <c r="Q190" s="136" t="str">
        <f t="shared" si="20"/>
        <v/>
      </c>
    </row>
    <row r="191" spans="2:17" x14ac:dyDescent="0.25">
      <c r="B191" s="131">
        <f t="shared" si="21"/>
        <v>148</v>
      </c>
      <c r="C191" s="132">
        <f ca="1">IF(B191="","",'Fecha Pago'!K151)</f>
        <v>50194</v>
      </c>
      <c r="D191" s="133">
        <f>IF(B191="","",'Fecha Pago'!L151)</f>
        <v>30.4</v>
      </c>
      <c r="E191" s="134">
        <f t="shared" si="18"/>
        <v>9.3799999999999994E-2</v>
      </c>
      <c r="F191" s="135">
        <f t="shared" si="22"/>
        <v>0</v>
      </c>
      <c r="G191" s="135">
        <f>IF(B191="","",IF(F191=0,0,MIN(F191,IF(Catálogos!$N$6=1,Prepagos!C150,IF(Catálogos!$N$6=2,Prepagos!D150,IF(Catálogos!$N$6=3,Prepagos!E150,))))))</f>
        <v>0</v>
      </c>
      <c r="H191" s="135">
        <f t="shared" si="23"/>
        <v>0</v>
      </c>
      <c r="I191" s="135">
        <f t="shared" si="24"/>
        <v>0</v>
      </c>
      <c r="J191" s="135">
        <f>IF(B191="","",IF(F191=0,0,F191*Catálogos!$R$1))</f>
        <v>0</v>
      </c>
      <c r="K191" s="135">
        <f>IF(B191="","",IF(Catálogos!$K$10=1,Carátula!$F$17*Catálogos!$R$4,0))</f>
        <v>0</v>
      </c>
      <c r="L191" s="135">
        <f>IF(B191="","",IF(F191=0,0,CAT!H154))</f>
        <v>0</v>
      </c>
      <c r="M191" s="124"/>
      <c r="N191" s="135">
        <f t="shared" si="17"/>
        <v>0</v>
      </c>
      <c r="O191" s="135">
        <f t="shared" si="25"/>
        <v>0</v>
      </c>
      <c r="P191" s="135">
        <f t="shared" si="19"/>
        <v>0</v>
      </c>
      <c r="Q191" s="136" t="str">
        <f t="shared" si="20"/>
        <v/>
      </c>
    </row>
    <row r="192" spans="2:17" x14ac:dyDescent="0.25">
      <c r="B192" s="131">
        <f t="shared" si="21"/>
        <v>149</v>
      </c>
      <c r="C192" s="132">
        <f ca="1">IF(B192="","",'Fecha Pago'!K152)</f>
        <v>50224</v>
      </c>
      <c r="D192" s="133">
        <f>IF(B192="","",'Fecha Pago'!L152)</f>
        <v>30.4</v>
      </c>
      <c r="E192" s="134">
        <f t="shared" si="18"/>
        <v>9.3799999999999994E-2</v>
      </c>
      <c r="F192" s="135">
        <f t="shared" si="22"/>
        <v>0</v>
      </c>
      <c r="G192" s="135">
        <f>IF(B192="","",IF(F192=0,0,MIN(F192,IF(Catálogos!$N$6=1,Prepagos!C151,IF(Catálogos!$N$6=2,Prepagos!D151,IF(Catálogos!$N$6=3,Prepagos!E151,))))))</f>
        <v>0</v>
      </c>
      <c r="H192" s="135">
        <f t="shared" si="23"/>
        <v>0</v>
      </c>
      <c r="I192" s="135">
        <f t="shared" si="24"/>
        <v>0</v>
      </c>
      <c r="J192" s="135">
        <f>IF(B192="","",IF(F192=0,0,F192*Catálogos!$R$1))</f>
        <v>0</v>
      </c>
      <c r="K192" s="135">
        <f>IF(B192="","",IF(Catálogos!$K$10=1,Carátula!$F$17*Catálogos!$R$4,0))</f>
        <v>0</v>
      </c>
      <c r="L192" s="135">
        <f>IF(B192="","",IF(F192=0,0,CAT!H155))</f>
        <v>0</v>
      </c>
      <c r="M192" s="124"/>
      <c r="N192" s="135">
        <f t="shared" si="17"/>
        <v>0</v>
      </c>
      <c r="O192" s="135">
        <f t="shared" si="25"/>
        <v>0</v>
      </c>
      <c r="P192" s="135">
        <f t="shared" si="19"/>
        <v>0</v>
      </c>
      <c r="Q192" s="136" t="str">
        <f t="shared" si="20"/>
        <v/>
      </c>
    </row>
    <row r="193" spans="2:17" x14ac:dyDescent="0.25">
      <c r="B193" s="131">
        <f t="shared" si="21"/>
        <v>150</v>
      </c>
      <c r="C193" s="132">
        <f ca="1">IF(B193="","",'Fecha Pago'!K153)</f>
        <v>50255</v>
      </c>
      <c r="D193" s="133">
        <f>IF(B193="","",'Fecha Pago'!L153)</f>
        <v>30.4</v>
      </c>
      <c r="E193" s="134">
        <f t="shared" si="18"/>
        <v>9.3799999999999994E-2</v>
      </c>
      <c r="F193" s="135">
        <f t="shared" si="22"/>
        <v>0</v>
      </c>
      <c r="G193" s="135">
        <f>IF(B193="","",IF(F193=0,0,MIN(F193,IF(Catálogos!$N$6=1,Prepagos!C152,IF(Catálogos!$N$6=2,Prepagos!D152,IF(Catálogos!$N$6=3,Prepagos!E152,))))))</f>
        <v>0</v>
      </c>
      <c r="H193" s="135">
        <f t="shared" si="23"/>
        <v>0</v>
      </c>
      <c r="I193" s="135">
        <f t="shared" si="24"/>
        <v>0</v>
      </c>
      <c r="J193" s="135">
        <f>IF(B193="","",IF(F193=0,0,F193*Catálogos!$R$1))</f>
        <v>0</v>
      </c>
      <c r="K193" s="135">
        <f>IF(B193="","",IF(Catálogos!$K$10=1,Carátula!$F$17*Catálogos!$R$4,0))</f>
        <v>0</v>
      </c>
      <c r="L193" s="135">
        <f>IF(B193="","",IF(F193=0,0,CAT!H156))</f>
        <v>0</v>
      </c>
      <c r="M193" s="124"/>
      <c r="N193" s="135">
        <f t="shared" si="17"/>
        <v>0</v>
      </c>
      <c r="O193" s="135">
        <f t="shared" si="25"/>
        <v>0</v>
      </c>
      <c r="P193" s="135">
        <f t="shared" si="19"/>
        <v>0</v>
      </c>
      <c r="Q193" s="136" t="str">
        <f t="shared" si="20"/>
        <v/>
      </c>
    </row>
    <row r="194" spans="2:17" x14ac:dyDescent="0.25">
      <c r="B194" s="131">
        <f t="shared" si="21"/>
        <v>151</v>
      </c>
      <c r="C194" s="132">
        <f ca="1">IF(B194="","",'Fecha Pago'!K154)</f>
        <v>50286</v>
      </c>
      <c r="D194" s="133">
        <f>IF(B194="","",'Fecha Pago'!L154)</f>
        <v>30.4</v>
      </c>
      <c r="E194" s="134">
        <f t="shared" si="18"/>
        <v>9.3799999999999994E-2</v>
      </c>
      <c r="F194" s="135">
        <f t="shared" si="22"/>
        <v>0</v>
      </c>
      <c r="G194" s="135">
        <f>IF(B194="","",IF(F194=0,0,MIN(F194,IF(Catálogos!$N$6=1,Prepagos!C153,IF(Catálogos!$N$6=2,Prepagos!D153,IF(Catálogos!$N$6=3,Prepagos!E153,))))))</f>
        <v>0</v>
      </c>
      <c r="H194" s="135">
        <f t="shared" si="23"/>
        <v>0</v>
      </c>
      <c r="I194" s="135">
        <f t="shared" si="24"/>
        <v>0</v>
      </c>
      <c r="J194" s="135">
        <f>IF(B194="","",IF(F194=0,0,F194*Catálogos!$R$1))</f>
        <v>0</v>
      </c>
      <c r="K194" s="135">
        <f>IF(B194="","",IF(Catálogos!$K$10=1,Carátula!$F$17*Catálogos!$R$4,0))</f>
        <v>0</v>
      </c>
      <c r="L194" s="135">
        <f>IF(B194="","",IF(F194=0,0,CAT!H157))</f>
        <v>0</v>
      </c>
      <c r="M194" s="124"/>
      <c r="N194" s="135">
        <f t="shared" si="17"/>
        <v>0</v>
      </c>
      <c r="O194" s="135">
        <f t="shared" si="25"/>
        <v>0</v>
      </c>
      <c r="P194" s="135">
        <f t="shared" si="19"/>
        <v>0</v>
      </c>
      <c r="Q194" s="136" t="str">
        <f t="shared" si="20"/>
        <v/>
      </c>
    </row>
    <row r="195" spans="2:17" x14ac:dyDescent="0.25">
      <c r="B195" s="131">
        <f t="shared" si="21"/>
        <v>152</v>
      </c>
      <c r="C195" s="132">
        <f ca="1">IF(B195="","",'Fecha Pago'!K155)</f>
        <v>50316</v>
      </c>
      <c r="D195" s="133">
        <f>IF(B195="","",'Fecha Pago'!L155)</f>
        <v>30.4</v>
      </c>
      <c r="E195" s="134">
        <f t="shared" si="18"/>
        <v>9.3799999999999994E-2</v>
      </c>
      <c r="F195" s="135">
        <f t="shared" si="22"/>
        <v>0</v>
      </c>
      <c r="G195" s="135">
        <f>IF(B195="","",IF(F195=0,0,MIN(F195,IF(Catálogos!$N$6=1,Prepagos!C154,IF(Catálogos!$N$6=2,Prepagos!D154,IF(Catálogos!$N$6=3,Prepagos!E154,))))))</f>
        <v>0</v>
      </c>
      <c r="H195" s="135">
        <f t="shared" si="23"/>
        <v>0</v>
      </c>
      <c r="I195" s="135">
        <f t="shared" si="24"/>
        <v>0</v>
      </c>
      <c r="J195" s="135">
        <f>IF(B195="","",IF(F195=0,0,F195*Catálogos!$R$1))</f>
        <v>0</v>
      </c>
      <c r="K195" s="135">
        <f>IF(B195="","",IF(Catálogos!$K$10=1,Carátula!$F$17*Catálogos!$R$4,0))</f>
        <v>0</v>
      </c>
      <c r="L195" s="135">
        <f>IF(B195="","",IF(F195=0,0,CAT!H158))</f>
        <v>0</v>
      </c>
      <c r="M195" s="124"/>
      <c r="N195" s="135">
        <f t="shared" si="17"/>
        <v>0</v>
      </c>
      <c r="O195" s="135">
        <f t="shared" si="25"/>
        <v>0</v>
      </c>
      <c r="P195" s="135">
        <f t="shared" si="19"/>
        <v>0</v>
      </c>
      <c r="Q195" s="136" t="str">
        <f t="shared" si="20"/>
        <v/>
      </c>
    </row>
    <row r="196" spans="2:17" x14ac:dyDescent="0.25">
      <c r="B196" s="131">
        <f t="shared" si="21"/>
        <v>153</v>
      </c>
      <c r="C196" s="132">
        <f ca="1">IF(B196="","",'Fecha Pago'!K156)</f>
        <v>50347</v>
      </c>
      <c r="D196" s="133">
        <f>IF(B196="","",'Fecha Pago'!L156)</f>
        <v>30.4</v>
      </c>
      <c r="E196" s="134">
        <f t="shared" si="18"/>
        <v>9.3799999999999994E-2</v>
      </c>
      <c r="F196" s="135">
        <f t="shared" si="22"/>
        <v>0</v>
      </c>
      <c r="G196" s="135">
        <f>IF(B196="","",IF(F196=0,0,MIN(F196,IF(Catálogos!$N$6=1,Prepagos!C155,IF(Catálogos!$N$6=2,Prepagos!D155,IF(Catálogos!$N$6=3,Prepagos!E155,))))))</f>
        <v>0</v>
      </c>
      <c r="H196" s="135">
        <f t="shared" si="23"/>
        <v>0</v>
      </c>
      <c r="I196" s="135">
        <f t="shared" si="24"/>
        <v>0</v>
      </c>
      <c r="J196" s="135">
        <f>IF(B196="","",IF(F196=0,0,F196*Catálogos!$R$1))</f>
        <v>0</v>
      </c>
      <c r="K196" s="135">
        <f>IF(B196="","",IF(Catálogos!$K$10=1,Carátula!$F$17*Catálogos!$R$4,0))</f>
        <v>0</v>
      </c>
      <c r="L196" s="135">
        <f>IF(B196="","",IF(F196=0,0,CAT!H159))</f>
        <v>0</v>
      </c>
      <c r="M196" s="124"/>
      <c r="N196" s="135">
        <f t="shared" si="17"/>
        <v>0</v>
      </c>
      <c r="O196" s="135">
        <f t="shared" si="25"/>
        <v>0</v>
      </c>
      <c r="P196" s="135">
        <f t="shared" si="19"/>
        <v>0</v>
      </c>
      <c r="Q196" s="136" t="str">
        <f t="shared" si="20"/>
        <v/>
      </c>
    </row>
    <row r="197" spans="2:17" x14ac:dyDescent="0.25">
      <c r="B197" s="131">
        <f t="shared" si="21"/>
        <v>154</v>
      </c>
      <c r="C197" s="132">
        <f ca="1">IF(B197="","",'Fecha Pago'!K157)</f>
        <v>50377</v>
      </c>
      <c r="D197" s="133">
        <f>IF(B197="","",'Fecha Pago'!L157)</f>
        <v>30.4</v>
      </c>
      <c r="E197" s="134">
        <f t="shared" si="18"/>
        <v>9.3799999999999994E-2</v>
      </c>
      <c r="F197" s="135">
        <f t="shared" si="22"/>
        <v>0</v>
      </c>
      <c r="G197" s="135">
        <f>IF(B197="","",IF(F197=0,0,MIN(F197,IF(Catálogos!$N$6=1,Prepagos!C156,IF(Catálogos!$N$6=2,Prepagos!D156,IF(Catálogos!$N$6=3,Prepagos!E156,))))))</f>
        <v>0</v>
      </c>
      <c r="H197" s="135">
        <f t="shared" si="23"/>
        <v>0</v>
      </c>
      <c r="I197" s="135">
        <f t="shared" si="24"/>
        <v>0</v>
      </c>
      <c r="J197" s="135">
        <f>IF(B197="","",IF(F197=0,0,F197*Catálogos!$R$1))</f>
        <v>0</v>
      </c>
      <c r="K197" s="135">
        <f>IF(B197="","",IF(Catálogos!$K$10=1,Carátula!$F$17*Catálogos!$R$4,0))</f>
        <v>0</v>
      </c>
      <c r="L197" s="135">
        <f>IF(B197="","",IF(F197=0,0,CAT!H160))</f>
        <v>0</v>
      </c>
      <c r="M197" s="124"/>
      <c r="N197" s="135">
        <f t="shared" si="17"/>
        <v>0</v>
      </c>
      <c r="O197" s="135">
        <f t="shared" si="25"/>
        <v>0</v>
      </c>
      <c r="P197" s="135">
        <f t="shared" si="19"/>
        <v>0</v>
      </c>
      <c r="Q197" s="136" t="str">
        <f t="shared" si="20"/>
        <v/>
      </c>
    </row>
    <row r="198" spans="2:17" x14ac:dyDescent="0.25">
      <c r="B198" s="131">
        <f t="shared" si="21"/>
        <v>155</v>
      </c>
      <c r="C198" s="132">
        <f ca="1">IF(B198="","",'Fecha Pago'!K158)</f>
        <v>50408</v>
      </c>
      <c r="D198" s="133">
        <f>IF(B198="","",'Fecha Pago'!L158)</f>
        <v>30.4</v>
      </c>
      <c r="E198" s="134">
        <f t="shared" si="18"/>
        <v>9.3799999999999994E-2</v>
      </c>
      <c r="F198" s="135">
        <f t="shared" si="22"/>
        <v>0</v>
      </c>
      <c r="G198" s="135">
        <f>IF(B198="","",IF(F198=0,0,MIN(F198,IF(Catálogos!$N$6=1,Prepagos!C157,IF(Catálogos!$N$6=2,Prepagos!D157,IF(Catálogos!$N$6=3,Prepagos!E157,))))))</f>
        <v>0</v>
      </c>
      <c r="H198" s="135">
        <f t="shared" si="23"/>
        <v>0</v>
      </c>
      <c r="I198" s="135">
        <f t="shared" si="24"/>
        <v>0</v>
      </c>
      <c r="J198" s="135">
        <f>IF(B198="","",IF(F198=0,0,F198*Catálogos!$R$1))</f>
        <v>0</v>
      </c>
      <c r="K198" s="135">
        <f>IF(B198="","",IF(Catálogos!$K$10=1,Carátula!$F$17*Catálogos!$R$4,0))</f>
        <v>0</v>
      </c>
      <c r="L198" s="135">
        <f>IF(B198="","",IF(F198=0,0,CAT!H161))</f>
        <v>0</v>
      </c>
      <c r="M198" s="124"/>
      <c r="N198" s="135">
        <f t="shared" si="17"/>
        <v>0</v>
      </c>
      <c r="O198" s="135">
        <f t="shared" si="25"/>
        <v>0</v>
      </c>
      <c r="P198" s="135">
        <f t="shared" si="19"/>
        <v>0</v>
      </c>
      <c r="Q198" s="136" t="str">
        <f t="shared" si="20"/>
        <v/>
      </c>
    </row>
    <row r="199" spans="2:17" x14ac:dyDescent="0.25">
      <c r="B199" s="131">
        <f t="shared" si="21"/>
        <v>156</v>
      </c>
      <c r="C199" s="132">
        <f ca="1">IF(B199="","",'Fecha Pago'!K159)</f>
        <v>50439</v>
      </c>
      <c r="D199" s="133">
        <f>IF(B199="","",'Fecha Pago'!L159)</f>
        <v>30.4</v>
      </c>
      <c r="E199" s="134">
        <f t="shared" si="18"/>
        <v>9.3799999999999994E-2</v>
      </c>
      <c r="F199" s="135">
        <f t="shared" si="22"/>
        <v>0</v>
      </c>
      <c r="G199" s="135">
        <f>IF(B199="","",IF(F199=0,0,MIN(F199,IF(Catálogos!$N$6=1,Prepagos!C158,IF(Catálogos!$N$6=2,Prepagos!D158,IF(Catálogos!$N$6=3,Prepagos!E158,))))))</f>
        <v>0</v>
      </c>
      <c r="H199" s="135">
        <f t="shared" si="23"/>
        <v>0</v>
      </c>
      <c r="I199" s="135">
        <f t="shared" si="24"/>
        <v>0</v>
      </c>
      <c r="J199" s="135">
        <f>IF(B199="","",IF(F199=0,0,F199*Catálogos!$R$1))</f>
        <v>0</v>
      </c>
      <c r="K199" s="135">
        <f>IF(B199="","",IF(Catálogos!$K$10=1,Carátula!$F$17*Catálogos!$R$4,0))</f>
        <v>0</v>
      </c>
      <c r="L199" s="135">
        <f>IF(B199="","",IF(F199=0,0,CAT!H162))</f>
        <v>0</v>
      </c>
      <c r="M199" s="124"/>
      <c r="N199" s="135">
        <f t="shared" si="17"/>
        <v>0</v>
      </c>
      <c r="O199" s="135">
        <f t="shared" si="25"/>
        <v>0</v>
      </c>
      <c r="P199" s="135">
        <f t="shared" si="19"/>
        <v>0</v>
      </c>
      <c r="Q199" s="136" t="str">
        <f t="shared" si="20"/>
        <v/>
      </c>
    </row>
    <row r="200" spans="2:17" x14ac:dyDescent="0.25">
      <c r="B200" s="131">
        <f t="shared" si="21"/>
        <v>157</v>
      </c>
      <c r="C200" s="132">
        <f ca="1">IF(B200="","",'Fecha Pago'!K160)</f>
        <v>50467</v>
      </c>
      <c r="D200" s="133">
        <f>IF(B200="","",'Fecha Pago'!L160)</f>
        <v>30.4</v>
      </c>
      <c r="E200" s="134">
        <f t="shared" si="18"/>
        <v>9.3799999999999994E-2</v>
      </c>
      <c r="F200" s="135">
        <f t="shared" si="22"/>
        <v>0</v>
      </c>
      <c r="G200" s="135">
        <f>IF(B200="","",IF(F200=0,0,MIN(F200,IF(Catálogos!$N$6=1,Prepagos!C159,IF(Catálogos!$N$6=2,Prepagos!D159,IF(Catálogos!$N$6=3,Prepagos!E159,))))))</f>
        <v>0</v>
      </c>
      <c r="H200" s="135">
        <f t="shared" si="23"/>
        <v>0</v>
      </c>
      <c r="I200" s="135">
        <f t="shared" si="24"/>
        <v>0</v>
      </c>
      <c r="J200" s="135">
        <f>IF(B200="","",IF(F200=0,0,F200*Catálogos!$R$1))</f>
        <v>0</v>
      </c>
      <c r="K200" s="135">
        <f>IF(B200="","",IF(Catálogos!$K$10=1,Carátula!$F$17*Catálogos!$R$4,0))</f>
        <v>0</v>
      </c>
      <c r="L200" s="135">
        <f>IF(B200="","",IF(F200=0,0,CAT!H163))</f>
        <v>0</v>
      </c>
      <c r="M200" s="124"/>
      <c r="N200" s="135">
        <f t="shared" si="17"/>
        <v>0</v>
      </c>
      <c r="O200" s="135">
        <f t="shared" si="25"/>
        <v>0</v>
      </c>
      <c r="P200" s="135">
        <f t="shared" si="19"/>
        <v>0</v>
      </c>
      <c r="Q200" s="136" t="str">
        <f t="shared" si="20"/>
        <v/>
      </c>
    </row>
    <row r="201" spans="2:17" x14ac:dyDescent="0.25">
      <c r="B201" s="131">
        <f t="shared" si="21"/>
        <v>158</v>
      </c>
      <c r="C201" s="132">
        <f ca="1">IF(B201="","",'Fecha Pago'!K161)</f>
        <v>50498</v>
      </c>
      <c r="D201" s="133">
        <f>IF(B201="","",'Fecha Pago'!L161)</f>
        <v>30.4</v>
      </c>
      <c r="E201" s="134">
        <f t="shared" si="18"/>
        <v>9.3799999999999994E-2</v>
      </c>
      <c r="F201" s="135">
        <f t="shared" si="22"/>
        <v>0</v>
      </c>
      <c r="G201" s="135">
        <f>IF(B201="","",IF(F201=0,0,MIN(F201,IF(Catálogos!$N$6=1,Prepagos!C160,IF(Catálogos!$N$6=2,Prepagos!D160,IF(Catálogos!$N$6=3,Prepagos!E160,))))))</f>
        <v>0</v>
      </c>
      <c r="H201" s="135">
        <f t="shared" si="23"/>
        <v>0</v>
      </c>
      <c r="I201" s="135">
        <f t="shared" si="24"/>
        <v>0</v>
      </c>
      <c r="J201" s="135">
        <f>IF(B201="","",IF(F201=0,0,F201*Catálogos!$R$1))</f>
        <v>0</v>
      </c>
      <c r="K201" s="135">
        <f>IF(B201="","",IF(Catálogos!$K$10=1,Carátula!$F$17*Catálogos!$R$4,0))</f>
        <v>0</v>
      </c>
      <c r="L201" s="135">
        <f>IF(B201="","",IF(F201=0,0,CAT!H164))</f>
        <v>0</v>
      </c>
      <c r="M201" s="124"/>
      <c r="N201" s="135">
        <f t="shared" si="17"/>
        <v>0</v>
      </c>
      <c r="O201" s="135">
        <f t="shared" si="25"/>
        <v>0</v>
      </c>
      <c r="P201" s="135">
        <f t="shared" si="19"/>
        <v>0</v>
      </c>
      <c r="Q201" s="136" t="str">
        <f t="shared" si="20"/>
        <v/>
      </c>
    </row>
    <row r="202" spans="2:17" x14ac:dyDescent="0.25">
      <c r="B202" s="131">
        <f t="shared" si="21"/>
        <v>159</v>
      </c>
      <c r="C202" s="132">
        <f ca="1">IF(B202="","",'Fecha Pago'!K162)</f>
        <v>50528</v>
      </c>
      <c r="D202" s="133">
        <f>IF(B202="","",'Fecha Pago'!L162)</f>
        <v>30.4</v>
      </c>
      <c r="E202" s="134">
        <f t="shared" si="18"/>
        <v>9.3799999999999994E-2</v>
      </c>
      <c r="F202" s="135">
        <f t="shared" si="22"/>
        <v>0</v>
      </c>
      <c r="G202" s="135">
        <f>IF(B202="","",IF(F202=0,0,MIN(F202,IF(Catálogos!$N$6=1,Prepagos!C161,IF(Catálogos!$N$6=2,Prepagos!D161,IF(Catálogos!$N$6=3,Prepagos!E161,))))))</f>
        <v>0</v>
      </c>
      <c r="H202" s="135">
        <f t="shared" si="23"/>
        <v>0</v>
      </c>
      <c r="I202" s="135">
        <f t="shared" si="24"/>
        <v>0</v>
      </c>
      <c r="J202" s="135">
        <f>IF(B202="","",IF(F202=0,0,F202*Catálogos!$R$1))</f>
        <v>0</v>
      </c>
      <c r="K202" s="135">
        <f>IF(B202="","",IF(Catálogos!$K$10=1,Carátula!$F$17*Catálogos!$R$4,0))</f>
        <v>0</v>
      </c>
      <c r="L202" s="135">
        <f>IF(B202="","",IF(F202=0,0,CAT!H165))</f>
        <v>0</v>
      </c>
      <c r="M202" s="124"/>
      <c r="N202" s="135">
        <f t="shared" si="17"/>
        <v>0</v>
      </c>
      <c r="O202" s="135">
        <f t="shared" si="25"/>
        <v>0</v>
      </c>
      <c r="P202" s="135">
        <f t="shared" si="19"/>
        <v>0</v>
      </c>
      <c r="Q202" s="136" t="str">
        <f t="shared" si="20"/>
        <v/>
      </c>
    </row>
    <row r="203" spans="2:17" x14ac:dyDescent="0.25">
      <c r="B203" s="131">
        <f t="shared" si="21"/>
        <v>160</v>
      </c>
      <c r="C203" s="132">
        <f ca="1">IF(B203="","",'Fecha Pago'!K163)</f>
        <v>50559</v>
      </c>
      <c r="D203" s="133">
        <f>IF(B203="","",'Fecha Pago'!L163)</f>
        <v>30.4</v>
      </c>
      <c r="E203" s="134">
        <f t="shared" si="18"/>
        <v>9.3799999999999994E-2</v>
      </c>
      <c r="F203" s="135">
        <f t="shared" si="22"/>
        <v>0</v>
      </c>
      <c r="G203" s="135">
        <f>IF(B203="","",IF(F203=0,0,MIN(F203,IF(Catálogos!$N$6=1,Prepagos!C162,IF(Catálogos!$N$6=2,Prepagos!D162,IF(Catálogos!$N$6=3,Prepagos!E162,))))))</f>
        <v>0</v>
      </c>
      <c r="H203" s="135">
        <f t="shared" si="23"/>
        <v>0</v>
      </c>
      <c r="I203" s="135">
        <f t="shared" si="24"/>
        <v>0</v>
      </c>
      <c r="J203" s="135">
        <f>IF(B203="","",IF(F203=0,0,F203*Catálogos!$R$1))</f>
        <v>0</v>
      </c>
      <c r="K203" s="135">
        <f>IF(B203="","",IF(Catálogos!$K$10=1,Carátula!$F$17*Catálogos!$R$4,0))</f>
        <v>0</v>
      </c>
      <c r="L203" s="135">
        <f>IF(B203="","",IF(F203=0,0,CAT!H166))</f>
        <v>0</v>
      </c>
      <c r="M203" s="124"/>
      <c r="N203" s="135">
        <f t="shared" si="17"/>
        <v>0</v>
      </c>
      <c r="O203" s="135">
        <f t="shared" si="25"/>
        <v>0</v>
      </c>
      <c r="P203" s="135">
        <f t="shared" si="19"/>
        <v>0</v>
      </c>
      <c r="Q203" s="136" t="str">
        <f t="shared" si="20"/>
        <v/>
      </c>
    </row>
    <row r="204" spans="2:17" x14ac:dyDescent="0.25">
      <c r="B204" s="131">
        <f t="shared" si="21"/>
        <v>161</v>
      </c>
      <c r="C204" s="132">
        <f ca="1">IF(B204="","",'Fecha Pago'!K164)</f>
        <v>50589</v>
      </c>
      <c r="D204" s="133">
        <f>IF(B204="","",'Fecha Pago'!L164)</f>
        <v>30.4</v>
      </c>
      <c r="E204" s="134">
        <f t="shared" si="18"/>
        <v>9.3799999999999994E-2</v>
      </c>
      <c r="F204" s="135">
        <f t="shared" si="22"/>
        <v>0</v>
      </c>
      <c r="G204" s="135">
        <f>IF(B204="","",IF(F204=0,0,MIN(F204,IF(Catálogos!$N$6=1,Prepagos!C163,IF(Catálogos!$N$6=2,Prepagos!D163,IF(Catálogos!$N$6=3,Prepagos!E163,))))))</f>
        <v>0</v>
      </c>
      <c r="H204" s="135">
        <f t="shared" si="23"/>
        <v>0</v>
      </c>
      <c r="I204" s="135">
        <f t="shared" si="24"/>
        <v>0</v>
      </c>
      <c r="J204" s="135">
        <f>IF(B204="","",IF(F204=0,0,F204*Catálogos!$R$1))</f>
        <v>0</v>
      </c>
      <c r="K204" s="135">
        <f>IF(B204="","",IF(Catálogos!$K$10=1,Carátula!$F$17*Catálogos!$R$4,0))</f>
        <v>0</v>
      </c>
      <c r="L204" s="135">
        <f>IF(B204="","",IF(F204=0,0,CAT!H167))</f>
        <v>0</v>
      </c>
      <c r="M204" s="124"/>
      <c r="N204" s="135">
        <f t="shared" si="17"/>
        <v>0</v>
      </c>
      <c r="O204" s="135">
        <f t="shared" si="25"/>
        <v>0</v>
      </c>
      <c r="P204" s="135">
        <f t="shared" si="19"/>
        <v>0</v>
      </c>
      <c r="Q204" s="136" t="str">
        <f t="shared" si="20"/>
        <v/>
      </c>
    </row>
    <row r="205" spans="2:17" x14ac:dyDescent="0.25">
      <c r="B205" s="131">
        <f t="shared" si="21"/>
        <v>162</v>
      </c>
      <c r="C205" s="132">
        <f ca="1">IF(B205="","",'Fecha Pago'!K165)</f>
        <v>50620</v>
      </c>
      <c r="D205" s="133">
        <f>IF(B205="","",'Fecha Pago'!L165)</f>
        <v>30.4</v>
      </c>
      <c r="E205" s="134">
        <f t="shared" si="18"/>
        <v>9.3799999999999994E-2</v>
      </c>
      <c r="F205" s="135">
        <f t="shared" si="22"/>
        <v>0</v>
      </c>
      <c r="G205" s="135">
        <f>IF(B205="","",IF(F205=0,0,MIN(F205,IF(Catálogos!$N$6=1,Prepagos!C164,IF(Catálogos!$N$6=2,Prepagos!D164,IF(Catálogos!$N$6=3,Prepagos!E164,))))))</f>
        <v>0</v>
      </c>
      <c r="H205" s="135">
        <f t="shared" si="23"/>
        <v>0</v>
      </c>
      <c r="I205" s="135">
        <f t="shared" si="24"/>
        <v>0</v>
      </c>
      <c r="J205" s="135">
        <f>IF(B205="","",IF(F205=0,0,F205*Catálogos!$R$1))</f>
        <v>0</v>
      </c>
      <c r="K205" s="135">
        <f>IF(B205="","",IF(Catálogos!$K$10=1,Carátula!$F$17*Catálogos!$R$4,0))</f>
        <v>0</v>
      </c>
      <c r="L205" s="135">
        <f>IF(B205="","",IF(F205=0,0,CAT!H168))</f>
        <v>0</v>
      </c>
      <c r="M205" s="124"/>
      <c r="N205" s="135">
        <f t="shared" si="17"/>
        <v>0</v>
      </c>
      <c r="O205" s="135">
        <f t="shared" si="25"/>
        <v>0</v>
      </c>
      <c r="P205" s="135">
        <f t="shared" si="19"/>
        <v>0</v>
      </c>
      <c r="Q205" s="136" t="str">
        <f t="shared" si="20"/>
        <v/>
      </c>
    </row>
    <row r="206" spans="2:17" x14ac:dyDescent="0.25">
      <c r="B206" s="131">
        <f t="shared" si="21"/>
        <v>163</v>
      </c>
      <c r="C206" s="132">
        <f ca="1">IF(B206="","",'Fecha Pago'!K166)</f>
        <v>50651</v>
      </c>
      <c r="D206" s="133">
        <f>IF(B206="","",'Fecha Pago'!L166)</f>
        <v>30.4</v>
      </c>
      <c r="E206" s="134">
        <f t="shared" si="18"/>
        <v>9.3799999999999994E-2</v>
      </c>
      <c r="F206" s="135">
        <f t="shared" si="22"/>
        <v>0</v>
      </c>
      <c r="G206" s="135">
        <f>IF(B206="","",IF(F206=0,0,MIN(F206,IF(Catálogos!$N$6=1,Prepagos!C165,IF(Catálogos!$N$6=2,Prepagos!D165,IF(Catálogos!$N$6=3,Prepagos!E165,))))))</f>
        <v>0</v>
      </c>
      <c r="H206" s="135">
        <f t="shared" si="23"/>
        <v>0</v>
      </c>
      <c r="I206" s="135">
        <f t="shared" si="24"/>
        <v>0</v>
      </c>
      <c r="J206" s="135">
        <f>IF(B206="","",IF(F206=0,0,F206*Catálogos!$R$1))</f>
        <v>0</v>
      </c>
      <c r="K206" s="135">
        <f>IF(B206="","",IF(Catálogos!$K$10=1,Carátula!$F$17*Catálogos!$R$4,0))</f>
        <v>0</v>
      </c>
      <c r="L206" s="135">
        <f>IF(B206="","",IF(F206=0,0,CAT!H169))</f>
        <v>0</v>
      </c>
      <c r="M206" s="124"/>
      <c r="N206" s="135">
        <f t="shared" si="17"/>
        <v>0</v>
      </c>
      <c r="O206" s="135">
        <f t="shared" si="25"/>
        <v>0</v>
      </c>
      <c r="P206" s="135">
        <f t="shared" si="19"/>
        <v>0</v>
      </c>
      <c r="Q206" s="136" t="str">
        <f t="shared" si="20"/>
        <v/>
      </c>
    </row>
    <row r="207" spans="2:17" x14ac:dyDescent="0.25">
      <c r="B207" s="131">
        <f t="shared" si="21"/>
        <v>164</v>
      </c>
      <c r="C207" s="132">
        <f ca="1">IF(B207="","",'Fecha Pago'!K167)</f>
        <v>50681</v>
      </c>
      <c r="D207" s="133">
        <f>IF(B207="","",'Fecha Pago'!L167)</f>
        <v>30.4</v>
      </c>
      <c r="E207" s="134">
        <f t="shared" si="18"/>
        <v>9.3799999999999994E-2</v>
      </c>
      <c r="F207" s="135">
        <f t="shared" si="22"/>
        <v>0</v>
      </c>
      <c r="G207" s="135">
        <f>IF(B207="","",IF(F207=0,0,MIN(F207,IF(Catálogos!$N$6=1,Prepagos!C166,IF(Catálogos!$N$6=2,Prepagos!D166,IF(Catálogos!$N$6=3,Prepagos!E166,))))))</f>
        <v>0</v>
      </c>
      <c r="H207" s="135">
        <f t="shared" si="23"/>
        <v>0</v>
      </c>
      <c r="I207" s="135">
        <f t="shared" si="24"/>
        <v>0</v>
      </c>
      <c r="J207" s="135">
        <f>IF(B207="","",IF(F207=0,0,F207*Catálogos!$R$1))</f>
        <v>0</v>
      </c>
      <c r="K207" s="135">
        <f>IF(B207="","",IF(Catálogos!$K$10=1,Carátula!$F$17*Catálogos!$R$4,0))</f>
        <v>0</v>
      </c>
      <c r="L207" s="135">
        <f>IF(B207="","",IF(F207=0,0,CAT!H170))</f>
        <v>0</v>
      </c>
      <c r="M207" s="124"/>
      <c r="N207" s="135">
        <f t="shared" si="17"/>
        <v>0</v>
      </c>
      <c r="O207" s="135">
        <f t="shared" si="25"/>
        <v>0</v>
      </c>
      <c r="P207" s="135">
        <f t="shared" si="19"/>
        <v>0</v>
      </c>
      <c r="Q207" s="136" t="str">
        <f t="shared" si="20"/>
        <v/>
      </c>
    </row>
    <row r="208" spans="2:17" x14ac:dyDescent="0.25">
      <c r="B208" s="131">
        <f t="shared" si="21"/>
        <v>165</v>
      </c>
      <c r="C208" s="132">
        <f ca="1">IF(B208="","",'Fecha Pago'!K168)</f>
        <v>50712</v>
      </c>
      <c r="D208" s="133">
        <f>IF(B208="","",'Fecha Pago'!L168)</f>
        <v>30.4</v>
      </c>
      <c r="E208" s="134">
        <f t="shared" si="18"/>
        <v>9.3799999999999994E-2</v>
      </c>
      <c r="F208" s="135">
        <f t="shared" si="22"/>
        <v>0</v>
      </c>
      <c r="G208" s="135">
        <f>IF(B208="","",IF(F208=0,0,MIN(F208,IF(Catálogos!$N$6=1,Prepagos!C167,IF(Catálogos!$N$6=2,Prepagos!D167,IF(Catálogos!$N$6=3,Prepagos!E167,))))))</f>
        <v>0</v>
      </c>
      <c r="H208" s="135">
        <f t="shared" si="23"/>
        <v>0</v>
      </c>
      <c r="I208" s="135">
        <f t="shared" si="24"/>
        <v>0</v>
      </c>
      <c r="J208" s="135">
        <f>IF(B208="","",IF(F208=0,0,F208*Catálogos!$R$1))</f>
        <v>0</v>
      </c>
      <c r="K208" s="135">
        <f>IF(B208="","",IF(Catálogos!$K$10=1,Carátula!$F$17*Catálogos!$R$4,0))</f>
        <v>0</v>
      </c>
      <c r="L208" s="135">
        <f>IF(B208="","",IF(F208=0,0,CAT!H171))</f>
        <v>0</v>
      </c>
      <c r="M208" s="124"/>
      <c r="N208" s="135">
        <f t="shared" ref="N208:N271" si="26">IF(B208="","",0)</f>
        <v>0</v>
      </c>
      <c r="O208" s="135">
        <f t="shared" si="25"/>
        <v>0</v>
      </c>
      <c r="P208" s="135">
        <f t="shared" si="19"/>
        <v>0</v>
      </c>
      <c r="Q208" s="136" t="str">
        <f t="shared" si="20"/>
        <v/>
      </c>
    </row>
    <row r="209" spans="2:17" x14ac:dyDescent="0.25">
      <c r="B209" s="131">
        <f t="shared" si="21"/>
        <v>166</v>
      </c>
      <c r="C209" s="132">
        <f ca="1">IF(B209="","",'Fecha Pago'!K169)</f>
        <v>50742</v>
      </c>
      <c r="D209" s="133">
        <f>IF(B209="","",'Fecha Pago'!L169)</f>
        <v>30.4</v>
      </c>
      <c r="E209" s="134">
        <f t="shared" si="18"/>
        <v>9.3799999999999994E-2</v>
      </c>
      <c r="F209" s="135">
        <f t="shared" si="22"/>
        <v>0</v>
      </c>
      <c r="G209" s="135">
        <f>IF(B209="","",IF(F209=0,0,MIN(F209,IF(Catálogos!$N$6=1,Prepagos!C168,IF(Catálogos!$N$6=2,Prepagos!D168,IF(Catálogos!$N$6=3,Prepagos!E168,))))))</f>
        <v>0</v>
      </c>
      <c r="H209" s="135">
        <f t="shared" si="23"/>
        <v>0</v>
      </c>
      <c r="I209" s="135">
        <f t="shared" si="24"/>
        <v>0</v>
      </c>
      <c r="J209" s="135">
        <f>IF(B209="","",IF(F209=0,0,F209*Catálogos!$R$1))</f>
        <v>0</v>
      </c>
      <c r="K209" s="135">
        <f>IF(B209="","",IF(Catálogos!$K$10=1,Carátula!$F$17*Catálogos!$R$4,0))</f>
        <v>0</v>
      </c>
      <c r="L209" s="135">
        <f>IF(B209="","",IF(F209=0,0,CAT!H172))</f>
        <v>0</v>
      </c>
      <c r="M209" s="124"/>
      <c r="N209" s="135">
        <f t="shared" si="26"/>
        <v>0</v>
      </c>
      <c r="O209" s="135">
        <f t="shared" si="25"/>
        <v>0</v>
      </c>
      <c r="P209" s="135">
        <f t="shared" si="19"/>
        <v>0</v>
      </c>
      <c r="Q209" s="136" t="str">
        <f t="shared" si="20"/>
        <v/>
      </c>
    </row>
    <row r="210" spans="2:17" x14ac:dyDescent="0.25">
      <c r="B210" s="131">
        <f t="shared" si="21"/>
        <v>167</v>
      </c>
      <c r="C210" s="132">
        <f ca="1">IF(B210="","",'Fecha Pago'!K170)</f>
        <v>50773</v>
      </c>
      <c r="D210" s="133">
        <f>IF(B210="","",'Fecha Pago'!L170)</f>
        <v>30.4</v>
      </c>
      <c r="E210" s="134">
        <f t="shared" si="18"/>
        <v>9.3799999999999994E-2</v>
      </c>
      <c r="F210" s="135">
        <f t="shared" si="22"/>
        <v>0</v>
      </c>
      <c r="G210" s="135">
        <f>IF(B210="","",IF(F210=0,0,MIN(F210,IF(Catálogos!$N$6=1,Prepagos!C169,IF(Catálogos!$N$6=2,Prepagos!D169,IF(Catálogos!$N$6=3,Prepagos!E169,))))))</f>
        <v>0</v>
      </c>
      <c r="H210" s="135">
        <f t="shared" si="23"/>
        <v>0</v>
      </c>
      <c r="I210" s="135">
        <f t="shared" si="24"/>
        <v>0</v>
      </c>
      <c r="J210" s="135">
        <f>IF(B210="","",IF(F210=0,0,F210*Catálogos!$R$1))</f>
        <v>0</v>
      </c>
      <c r="K210" s="135">
        <f>IF(B210="","",IF(Catálogos!$K$10=1,Carátula!$F$17*Catálogos!$R$4,0))</f>
        <v>0</v>
      </c>
      <c r="L210" s="135">
        <f>IF(B210="","",IF(F210=0,0,CAT!H173))</f>
        <v>0</v>
      </c>
      <c r="M210" s="124"/>
      <c r="N210" s="135">
        <f t="shared" si="26"/>
        <v>0</v>
      </c>
      <c r="O210" s="135">
        <f t="shared" si="25"/>
        <v>0</v>
      </c>
      <c r="P210" s="135">
        <f t="shared" si="19"/>
        <v>0</v>
      </c>
      <c r="Q210" s="136" t="str">
        <f t="shared" si="20"/>
        <v/>
      </c>
    </row>
    <row r="211" spans="2:17" x14ac:dyDescent="0.25">
      <c r="B211" s="131">
        <f t="shared" si="21"/>
        <v>168</v>
      </c>
      <c r="C211" s="132">
        <f ca="1">IF(B211="","",'Fecha Pago'!K171)</f>
        <v>50804</v>
      </c>
      <c r="D211" s="133">
        <f>IF(B211="","",'Fecha Pago'!L171)</f>
        <v>30.4</v>
      </c>
      <c r="E211" s="134">
        <f t="shared" si="18"/>
        <v>9.3799999999999994E-2</v>
      </c>
      <c r="F211" s="135">
        <f t="shared" si="22"/>
        <v>0</v>
      </c>
      <c r="G211" s="135">
        <f>IF(B211="","",IF(F211=0,0,MIN(F211,IF(Catálogos!$N$6=1,Prepagos!C170,IF(Catálogos!$N$6=2,Prepagos!D170,IF(Catálogos!$N$6=3,Prepagos!E170,))))))</f>
        <v>0</v>
      </c>
      <c r="H211" s="135">
        <f t="shared" si="23"/>
        <v>0</v>
      </c>
      <c r="I211" s="135">
        <f t="shared" si="24"/>
        <v>0</v>
      </c>
      <c r="J211" s="135">
        <f>IF(B211="","",IF(F211=0,0,F211*Catálogos!$R$1))</f>
        <v>0</v>
      </c>
      <c r="K211" s="135">
        <f>IF(B211="","",IF(Catálogos!$K$10=1,Carátula!$F$17*Catálogos!$R$4,0))</f>
        <v>0</v>
      </c>
      <c r="L211" s="135">
        <f>IF(B211="","",IF(F211=0,0,CAT!H174))</f>
        <v>0</v>
      </c>
      <c r="M211" s="124"/>
      <c r="N211" s="135">
        <f t="shared" si="26"/>
        <v>0</v>
      </c>
      <c r="O211" s="135">
        <f t="shared" si="25"/>
        <v>0</v>
      </c>
      <c r="P211" s="135">
        <f t="shared" si="19"/>
        <v>0</v>
      </c>
      <c r="Q211" s="136" t="str">
        <f t="shared" si="20"/>
        <v/>
      </c>
    </row>
    <row r="212" spans="2:17" x14ac:dyDescent="0.25">
      <c r="B212" s="131">
        <f t="shared" si="21"/>
        <v>169</v>
      </c>
      <c r="C212" s="132">
        <f ca="1">IF(B212="","",'Fecha Pago'!K172)</f>
        <v>50832</v>
      </c>
      <c r="D212" s="133">
        <f>IF(B212="","",'Fecha Pago'!L172)</f>
        <v>30.4</v>
      </c>
      <c r="E212" s="134">
        <f t="shared" si="18"/>
        <v>9.3799999999999994E-2</v>
      </c>
      <c r="F212" s="135">
        <f t="shared" si="22"/>
        <v>0</v>
      </c>
      <c r="G212" s="135">
        <f>IF(B212="","",IF(F212=0,0,MIN(F212,IF(Catálogos!$N$6=1,Prepagos!C171,IF(Catálogos!$N$6=2,Prepagos!D171,IF(Catálogos!$N$6=3,Prepagos!E171,))))))</f>
        <v>0</v>
      </c>
      <c r="H212" s="135">
        <f t="shared" si="23"/>
        <v>0</v>
      </c>
      <c r="I212" s="135">
        <f t="shared" si="24"/>
        <v>0</v>
      </c>
      <c r="J212" s="135">
        <f>IF(B212="","",IF(F212=0,0,F212*Catálogos!$R$1))</f>
        <v>0</v>
      </c>
      <c r="K212" s="135">
        <f>IF(B212="","",IF(Catálogos!$K$10=1,Carátula!$F$17*Catálogos!$R$4,0))</f>
        <v>0</v>
      </c>
      <c r="L212" s="135">
        <f>IF(B212="","",IF(F212=0,0,CAT!H175))</f>
        <v>0</v>
      </c>
      <c r="M212" s="124"/>
      <c r="N212" s="135">
        <f t="shared" si="26"/>
        <v>0</v>
      </c>
      <c r="O212" s="135">
        <f t="shared" si="25"/>
        <v>0</v>
      </c>
      <c r="P212" s="135">
        <f t="shared" si="19"/>
        <v>0</v>
      </c>
      <c r="Q212" s="136" t="str">
        <f t="shared" si="20"/>
        <v/>
      </c>
    </row>
    <row r="213" spans="2:17" x14ac:dyDescent="0.25">
      <c r="B213" s="131">
        <f t="shared" si="21"/>
        <v>170</v>
      </c>
      <c r="C213" s="132">
        <f ca="1">IF(B213="","",'Fecha Pago'!K173)</f>
        <v>50863</v>
      </c>
      <c r="D213" s="133">
        <f>IF(B213="","",'Fecha Pago'!L173)</f>
        <v>30.4</v>
      </c>
      <c r="E213" s="134">
        <f t="shared" si="18"/>
        <v>9.3799999999999994E-2</v>
      </c>
      <c r="F213" s="135">
        <f t="shared" si="22"/>
        <v>0</v>
      </c>
      <c r="G213" s="135">
        <f>IF(B213="","",IF(F213=0,0,MIN(F213,IF(Catálogos!$N$6=1,Prepagos!C172,IF(Catálogos!$N$6=2,Prepagos!D172,IF(Catálogos!$N$6=3,Prepagos!E172,))))))</f>
        <v>0</v>
      </c>
      <c r="H213" s="135">
        <f t="shared" si="23"/>
        <v>0</v>
      </c>
      <c r="I213" s="135">
        <f t="shared" si="24"/>
        <v>0</v>
      </c>
      <c r="J213" s="135">
        <f>IF(B213="","",IF(F213=0,0,F213*Catálogos!$R$1))</f>
        <v>0</v>
      </c>
      <c r="K213" s="135">
        <f>IF(B213="","",IF(Catálogos!$K$10=1,Carátula!$F$17*Catálogos!$R$4,0))</f>
        <v>0</v>
      </c>
      <c r="L213" s="135">
        <f>IF(B213="","",IF(F213=0,0,CAT!H176))</f>
        <v>0</v>
      </c>
      <c r="M213" s="124"/>
      <c r="N213" s="135">
        <f t="shared" si="26"/>
        <v>0</v>
      </c>
      <c r="O213" s="135">
        <f t="shared" si="25"/>
        <v>0</v>
      </c>
      <c r="P213" s="135">
        <f t="shared" si="19"/>
        <v>0</v>
      </c>
      <c r="Q213" s="136" t="str">
        <f t="shared" si="20"/>
        <v/>
      </c>
    </row>
    <row r="214" spans="2:17" x14ac:dyDescent="0.25">
      <c r="B214" s="131">
        <f t="shared" si="21"/>
        <v>171</v>
      </c>
      <c r="C214" s="132">
        <f ca="1">IF(B214="","",'Fecha Pago'!K174)</f>
        <v>50893</v>
      </c>
      <c r="D214" s="133">
        <f>IF(B214="","",'Fecha Pago'!L174)</f>
        <v>30.4</v>
      </c>
      <c r="E214" s="134">
        <f t="shared" si="18"/>
        <v>9.3799999999999994E-2</v>
      </c>
      <c r="F214" s="135">
        <f t="shared" si="22"/>
        <v>0</v>
      </c>
      <c r="G214" s="135">
        <f>IF(B214="","",IF(F214=0,0,MIN(F214,IF(Catálogos!$N$6=1,Prepagos!C173,IF(Catálogos!$N$6=2,Prepagos!D173,IF(Catálogos!$N$6=3,Prepagos!E173,))))))</f>
        <v>0</v>
      </c>
      <c r="H214" s="135">
        <f t="shared" si="23"/>
        <v>0</v>
      </c>
      <c r="I214" s="135">
        <f t="shared" si="24"/>
        <v>0</v>
      </c>
      <c r="J214" s="135">
        <f>IF(B214="","",IF(F214=0,0,F214*Catálogos!$R$1))</f>
        <v>0</v>
      </c>
      <c r="K214" s="135">
        <f>IF(B214="","",IF(Catálogos!$K$10=1,Carátula!$F$17*Catálogos!$R$4,0))</f>
        <v>0</v>
      </c>
      <c r="L214" s="135">
        <f>IF(B214="","",IF(F214=0,0,CAT!H177))</f>
        <v>0</v>
      </c>
      <c r="M214" s="124"/>
      <c r="N214" s="135">
        <f t="shared" si="26"/>
        <v>0</v>
      </c>
      <c r="O214" s="135">
        <f t="shared" si="25"/>
        <v>0</v>
      </c>
      <c r="P214" s="135">
        <f t="shared" si="19"/>
        <v>0</v>
      </c>
      <c r="Q214" s="136" t="str">
        <f t="shared" si="20"/>
        <v/>
      </c>
    </row>
    <row r="215" spans="2:17" x14ac:dyDescent="0.25">
      <c r="B215" s="131">
        <f t="shared" si="21"/>
        <v>172</v>
      </c>
      <c r="C215" s="132">
        <f ca="1">IF(B215="","",'Fecha Pago'!K175)</f>
        <v>50924</v>
      </c>
      <c r="D215" s="133">
        <f>IF(B215="","",'Fecha Pago'!L175)</f>
        <v>30.4</v>
      </c>
      <c r="E215" s="134">
        <f t="shared" si="18"/>
        <v>9.3799999999999994E-2</v>
      </c>
      <c r="F215" s="135">
        <f t="shared" si="22"/>
        <v>0</v>
      </c>
      <c r="G215" s="135">
        <f>IF(B215="","",IF(F215=0,0,MIN(F215,IF(Catálogos!$N$6=1,Prepagos!C174,IF(Catálogos!$N$6=2,Prepagos!D174,IF(Catálogos!$N$6=3,Prepagos!E174,))))))</f>
        <v>0</v>
      </c>
      <c r="H215" s="135">
        <f t="shared" si="23"/>
        <v>0</v>
      </c>
      <c r="I215" s="135">
        <f t="shared" si="24"/>
        <v>0</v>
      </c>
      <c r="J215" s="135">
        <f>IF(B215="","",IF(F215=0,0,F215*Catálogos!$R$1))</f>
        <v>0</v>
      </c>
      <c r="K215" s="135">
        <f>IF(B215="","",IF(Catálogos!$K$10=1,Carátula!$F$17*Catálogos!$R$4,0))</f>
        <v>0</v>
      </c>
      <c r="L215" s="135">
        <f>IF(B215="","",IF(F215=0,0,CAT!H178))</f>
        <v>0</v>
      </c>
      <c r="M215" s="124"/>
      <c r="N215" s="135">
        <f t="shared" si="26"/>
        <v>0</v>
      </c>
      <c r="O215" s="135">
        <f t="shared" si="25"/>
        <v>0</v>
      </c>
      <c r="P215" s="135">
        <f t="shared" si="19"/>
        <v>0</v>
      </c>
      <c r="Q215" s="136" t="str">
        <f t="shared" si="20"/>
        <v/>
      </c>
    </row>
    <row r="216" spans="2:17" x14ac:dyDescent="0.25">
      <c r="B216" s="131">
        <f t="shared" si="21"/>
        <v>173</v>
      </c>
      <c r="C216" s="132">
        <f ca="1">IF(B216="","",'Fecha Pago'!K176)</f>
        <v>50954</v>
      </c>
      <c r="D216" s="133">
        <f>IF(B216="","",'Fecha Pago'!L176)</f>
        <v>30.4</v>
      </c>
      <c r="E216" s="134">
        <f t="shared" si="18"/>
        <v>9.3799999999999994E-2</v>
      </c>
      <c r="F216" s="135">
        <f t="shared" si="22"/>
        <v>0</v>
      </c>
      <c r="G216" s="135">
        <f>IF(B216="","",IF(F216=0,0,MIN(F216,IF(Catálogos!$N$6=1,Prepagos!C175,IF(Catálogos!$N$6=2,Prepagos!D175,IF(Catálogos!$N$6=3,Prepagos!E175,))))))</f>
        <v>0</v>
      </c>
      <c r="H216" s="135">
        <f t="shared" si="23"/>
        <v>0</v>
      </c>
      <c r="I216" s="135">
        <f t="shared" si="24"/>
        <v>0</v>
      </c>
      <c r="J216" s="135">
        <f>IF(B216="","",IF(F216=0,0,F216*Catálogos!$R$1))</f>
        <v>0</v>
      </c>
      <c r="K216" s="135">
        <f>IF(B216="","",IF(Catálogos!$K$10=1,Carátula!$F$17*Catálogos!$R$4,0))</f>
        <v>0</v>
      </c>
      <c r="L216" s="135">
        <f>IF(B216="","",IF(F216=0,0,CAT!H179))</f>
        <v>0</v>
      </c>
      <c r="M216" s="124"/>
      <c r="N216" s="135">
        <f t="shared" si="26"/>
        <v>0</v>
      </c>
      <c r="O216" s="135">
        <f t="shared" si="25"/>
        <v>0</v>
      </c>
      <c r="P216" s="135">
        <f t="shared" si="19"/>
        <v>0</v>
      </c>
      <c r="Q216" s="136" t="str">
        <f t="shared" si="20"/>
        <v/>
      </c>
    </row>
    <row r="217" spans="2:17" x14ac:dyDescent="0.25">
      <c r="B217" s="131">
        <f t="shared" si="21"/>
        <v>174</v>
      </c>
      <c r="C217" s="132">
        <f ca="1">IF(B217="","",'Fecha Pago'!K177)</f>
        <v>50985</v>
      </c>
      <c r="D217" s="133">
        <f>IF(B217="","",'Fecha Pago'!L177)</f>
        <v>30.4</v>
      </c>
      <c r="E217" s="134">
        <f t="shared" si="18"/>
        <v>9.3799999999999994E-2</v>
      </c>
      <c r="F217" s="135">
        <f t="shared" si="22"/>
        <v>0</v>
      </c>
      <c r="G217" s="135">
        <f>IF(B217="","",IF(F217=0,0,MIN(F217,IF(Catálogos!$N$6=1,Prepagos!C176,IF(Catálogos!$N$6=2,Prepagos!D176,IF(Catálogos!$N$6=3,Prepagos!E176,))))))</f>
        <v>0</v>
      </c>
      <c r="H217" s="135">
        <f t="shared" si="23"/>
        <v>0</v>
      </c>
      <c r="I217" s="135">
        <f t="shared" si="24"/>
        <v>0</v>
      </c>
      <c r="J217" s="135">
        <f>IF(B217="","",IF(F217=0,0,F217*Catálogos!$R$1))</f>
        <v>0</v>
      </c>
      <c r="K217" s="135">
        <f>IF(B217="","",IF(Catálogos!$K$10=1,Carátula!$F$17*Catálogos!$R$4,0))</f>
        <v>0</v>
      </c>
      <c r="L217" s="135">
        <f>IF(B217="","",IF(F217=0,0,CAT!H180))</f>
        <v>0</v>
      </c>
      <c r="M217" s="124"/>
      <c r="N217" s="135">
        <f t="shared" si="26"/>
        <v>0</v>
      </c>
      <c r="O217" s="135">
        <f t="shared" si="25"/>
        <v>0</v>
      </c>
      <c r="P217" s="135">
        <f t="shared" si="19"/>
        <v>0</v>
      </c>
      <c r="Q217" s="136" t="str">
        <f t="shared" si="20"/>
        <v/>
      </c>
    </row>
    <row r="218" spans="2:17" x14ac:dyDescent="0.25">
      <c r="B218" s="131">
        <f t="shared" si="21"/>
        <v>175</v>
      </c>
      <c r="C218" s="132">
        <f ca="1">IF(B218="","",'Fecha Pago'!K178)</f>
        <v>51016</v>
      </c>
      <c r="D218" s="133">
        <f>IF(B218="","",'Fecha Pago'!L178)</f>
        <v>30.4</v>
      </c>
      <c r="E218" s="134">
        <f t="shared" si="18"/>
        <v>9.3799999999999994E-2</v>
      </c>
      <c r="F218" s="135">
        <f t="shared" si="22"/>
        <v>0</v>
      </c>
      <c r="G218" s="135">
        <f>IF(B218="","",IF(F218=0,0,MIN(F218,IF(Catálogos!$N$6=1,Prepagos!C177,IF(Catálogos!$N$6=2,Prepagos!D177,IF(Catálogos!$N$6=3,Prepagos!E177,))))))</f>
        <v>0</v>
      </c>
      <c r="H218" s="135">
        <f t="shared" si="23"/>
        <v>0</v>
      </c>
      <c r="I218" s="135">
        <f t="shared" si="24"/>
        <v>0</v>
      </c>
      <c r="J218" s="135">
        <f>IF(B218="","",IF(F218=0,0,F218*Catálogos!$R$1))</f>
        <v>0</v>
      </c>
      <c r="K218" s="135">
        <f>IF(B218="","",IF(Catálogos!$K$10=1,Carátula!$F$17*Catálogos!$R$4,0))</f>
        <v>0</v>
      </c>
      <c r="L218" s="135">
        <f>IF(B218="","",IF(F218=0,0,CAT!H181))</f>
        <v>0</v>
      </c>
      <c r="M218" s="124"/>
      <c r="N218" s="135">
        <f t="shared" si="26"/>
        <v>0</v>
      </c>
      <c r="O218" s="135">
        <f t="shared" si="25"/>
        <v>0</v>
      </c>
      <c r="P218" s="135">
        <f t="shared" si="19"/>
        <v>0</v>
      </c>
      <c r="Q218" s="136" t="str">
        <f t="shared" si="20"/>
        <v/>
      </c>
    </row>
    <row r="219" spans="2:17" x14ac:dyDescent="0.25">
      <c r="B219" s="131">
        <f t="shared" si="21"/>
        <v>176</v>
      </c>
      <c r="C219" s="132">
        <f ca="1">IF(B219="","",'Fecha Pago'!K179)</f>
        <v>51046</v>
      </c>
      <c r="D219" s="133">
        <f>IF(B219="","",'Fecha Pago'!L179)</f>
        <v>30.4</v>
      </c>
      <c r="E219" s="134">
        <f t="shared" si="18"/>
        <v>9.3799999999999994E-2</v>
      </c>
      <c r="F219" s="135">
        <f t="shared" si="22"/>
        <v>0</v>
      </c>
      <c r="G219" s="135">
        <f>IF(B219="","",IF(F219=0,0,MIN(F219,IF(Catálogos!$N$6=1,Prepagos!C178,IF(Catálogos!$N$6=2,Prepagos!D178,IF(Catálogos!$N$6=3,Prepagos!E178,))))))</f>
        <v>0</v>
      </c>
      <c r="H219" s="135">
        <f t="shared" si="23"/>
        <v>0</v>
      </c>
      <c r="I219" s="135">
        <f t="shared" si="24"/>
        <v>0</v>
      </c>
      <c r="J219" s="135">
        <f>IF(B219="","",IF(F219=0,0,F219*Catálogos!$R$1))</f>
        <v>0</v>
      </c>
      <c r="K219" s="135">
        <f>IF(B219="","",IF(Catálogos!$K$10=1,Carátula!$F$17*Catálogos!$R$4,0))</f>
        <v>0</v>
      </c>
      <c r="L219" s="135">
        <f>IF(B219="","",IF(F219=0,0,CAT!H182))</f>
        <v>0</v>
      </c>
      <c r="M219" s="124"/>
      <c r="N219" s="135">
        <f t="shared" si="26"/>
        <v>0</v>
      </c>
      <c r="O219" s="135">
        <f t="shared" si="25"/>
        <v>0</v>
      </c>
      <c r="P219" s="135">
        <f t="shared" si="19"/>
        <v>0</v>
      </c>
      <c r="Q219" s="136" t="str">
        <f t="shared" si="20"/>
        <v/>
      </c>
    </row>
    <row r="220" spans="2:17" x14ac:dyDescent="0.25">
      <c r="B220" s="131">
        <f t="shared" si="21"/>
        <v>177</v>
      </c>
      <c r="C220" s="132">
        <f ca="1">IF(B220="","",'Fecha Pago'!K180)</f>
        <v>51077</v>
      </c>
      <c r="D220" s="133">
        <f>IF(B220="","",'Fecha Pago'!L180)</f>
        <v>30.4</v>
      </c>
      <c r="E220" s="134">
        <f t="shared" si="18"/>
        <v>9.3799999999999994E-2</v>
      </c>
      <c r="F220" s="135">
        <f t="shared" si="22"/>
        <v>0</v>
      </c>
      <c r="G220" s="135">
        <f>IF(B220="","",IF(F220=0,0,MIN(F220,IF(Catálogos!$N$6=1,Prepagos!C179,IF(Catálogos!$N$6=2,Prepagos!D179,IF(Catálogos!$N$6=3,Prepagos!E179,))))))</f>
        <v>0</v>
      </c>
      <c r="H220" s="135">
        <f t="shared" si="23"/>
        <v>0</v>
      </c>
      <c r="I220" s="135">
        <f t="shared" si="24"/>
        <v>0</v>
      </c>
      <c r="J220" s="135">
        <f>IF(B220="","",IF(F220=0,0,F220*Catálogos!$R$1))</f>
        <v>0</v>
      </c>
      <c r="K220" s="135">
        <f>IF(B220="","",IF(Catálogos!$K$10=1,Carátula!$F$17*Catálogos!$R$4,0))</f>
        <v>0</v>
      </c>
      <c r="L220" s="135">
        <f>IF(B220="","",IF(F220=0,0,CAT!H183))</f>
        <v>0</v>
      </c>
      <c r="M220" s="124"/>
      <c r="N220" s="135">
        <f t="shared" si="26"/>
        <v>0</v>
      </c>
      <c r="O220" s="135">
        <f t="shared" si="25"/>
        <v>0</v>
      </c>
      <c r="P220" s="135">
        <f t="shared" si="19"/>
        <v>0</v>
      </c>
      <c r="Q220" s="136" t="str">
        <f t="shared" si="20"/>
        <v/>
      </c>
    </row>
    <row r="221" spans="2:17" x14ac:dyDescent="0.25">
      <c r="B221" s="131">
        <f t="shared" si="21"/>
        <v>178</v>
      </c>
      <c r="C221" s="132">
        <f ca="1">IF(B221="","",'Fecha Pago'!K181)</f>
        <v>51107</v>
      </c>
      <c r="D221" s="133">
        <f>IF(B221="","",'Fecha Pago'!L181)</f>
        <v>30.4</v>
      </c>
      <c r="E221" s="134">
        <f t="shared" si="18"/>
        <v>9.3799999999999994E-2</v>
      </c>
      <c r="F221" s="135">
        <f t="shared" si="22"/>
        <v>0</v>
      </c>
      <c r="G221" s="135">
        <f>IF(B221="","",IF(F221=0,0,MIN(F221,IF(Catálogos!$N$6=1,Prepagos!C180,IF(Catálogos!$N$6=2,Prepagos!D180,IF(Catálogos!$N$6=3,Prepagos!E180,))))))</f>
        <v>0</v>
      </c>
      <c r="H221" s="135">
        <f t="shared" si="23"/>
        <v>0</v>
      </c>
      <c r="I221" s="135">
        <f t="shared" si="24"/>
        <v>0</v>
      </c>
      <c r="J221" s="135">
        <f>IF(B221="","",IF(F221=0,0,F221*Catálogos!$R$1))</f>
        <v>0</v>
      </c>
      <c r="K221" s="135">
        <f>IF(B221="","",IF(Catálogos!$K$10=1,Carátula!$F$17*Catálogos!$R$4,0))</f>
        <v>0</v>
      </c>
      <c r="L221" s="135">
        <f>IF(B221="","",IF(F221=0,0,CAT!H184))</f>
        <v>0</v>
      </c>
      <c r="M221" s="124"/>
      <c r="N221" s="135">
        <f t="shared" si="26"/>
        <v>0</v>
      </c>
      <c r="O221" s="135">
        <f t="shared" si="25"/>
        <v>0</v>
      </c>
      <c r="P221" s="135">
        <f t="shared" si="19"/>
        <v>0</v>
      </c>
      <c r="Q221" s="136" t="str">
        <f t="shared" si="20"/>
        <v/>
      </c>
    </row>
    <row r="222" spans="2:17" x14ac:dyDescent="0.25">
      <c r="B222" s="131">
        <f t="shared" si="21"/>
        <v>179</v>
      </c>
      <c r="C222" s="132">
        <f ca="1">IF(B222="","",'Fecha Pago'!K182)</f>
        <v>51138</v>
      </c>
      <c r="D222" s="133">
        <f>IF(B222="","",'Fecha Pago'!L182)</f>
        <v>30.4</v>
      </c>
      <c r="E222" s="134">
        <f t="shared" si="18"/>
        <v>9.3799999999999994E-2</v>
      </c>
      <c r="F222" s="135">
        <f t="shared" si="22"/>
        <v>0</v>
      </c>
      <c r="G222" s="135">
        <f>IF(B222="","",IF(F222=0,0,MIN(F222,IF(Catálogos!$N$6=1,Prepagos!C181,IF(Catálogos!$N$6=2,Prepagos!D181,IF(Catálogos!$N$6=3,Prepagos!E181,))))))</f>
        <v>0</v>
      </c>
      <c r="H222" s="135">
        <f t="shared" si="23"/>
        <v>0</v>
      </c>
      <c r="I222" s="135">
        <f t="shared" si="24"/>
        <v>0</v>
      </c>
      <c r="J222" s="135">
        <f>IF(B222="","",IF(F222=0,0,F222*Catálogos!$R$1))</f>
        <v>0</v>
      </c>
      <c r="K222" s="135">
        <f>IF(B222="","",IF(Catálogos!$K$10=1,Carátula!$F$17*Catálogos!$R$4,0))</f>
        <v>0</v>
      </c>
      <c r="L222" s="135">
        <f>IF(B222="","",IF(F222=0,0,CAT!H185))</f>
        <v>0</v>
      </c>
      <c r="M222" s="124"/>
      <c r="N222" s="135">
        <f t="shared" si="26"/>
        <v>0</v>
      </c>
      <c r="O222" s="135">
        <f t="shared" si="25"/>
        <v>0</v>
      </c>
      <c r="P222" s="135">
        <f t="shared" si="19"/>
        <v>0</v>
      </c>
      <c r="Q222" s="136" t="str">
        <f t="shared" si="20"/>
        <v/>
      </c>
    </row>
    <row r="223" spans="2:17" x14ac:dyDescent="0.25">
      <c r="B223" s="131">
        <f t="shared" si="21"/>
        <v>180</v>
      </c>
      <c r="C223" s="132">
        <f ca="1">IF(B223="","",'Fecha Pago'!K183)</f>
        <v>51169</v>
      </c>
      <c r="D223" s="133">
        <f>IF(B223="","",'Fecha Pago'!L183)</f>
        <v>30.4</v>
      </c>
      <c r="E223" s="134">
        <f t="shared" si="18"/>
        <v>9.3799999999999994E-2</v>
      </c>
      <c r="F223" s="135">
        <f t="shared" si="22"/>
        <v>0</v>
      </c>
      <c r="G223" s="135">
        <f>IF(B223="","",IF(F223=0,0,MIN(F223,IF(Catálogos!$N$6=1,Prepagos!C182,IF(Catálogos!$N$6=2,Prepagos!D182,IF(Catálogos!$N$6=3,Prepagos!E182,))))))</f>
        <v>0</v>
      </c>
      <c r="H223" s="135">
        <f t="shared" si="23"/>
        <v>0</v>
      </c>
      <c r="I223" s="135">
        <f t="shared" si="24"/>
        <v>0</v>
      </c>
      <c r="J223" s="135">
        <f>IF(B223="","",IF(F223=0,0,F223*Catálogos!$R$1))</f>
        <v>0</v>
      </c>
      <c r="K223" s="135">
        <f>IF(B223="","",IF(Catálogos!$K$10=1,Carátula!$F$17*Catálogos!$R$4,0))</f>
        <v>0</v>
      </c>
      <c r="L223" s="135">
        <f>IF(B223="","",IF(F223=0,0,CAT!H186))</f>
        <v>0</v>
      </c>
      <c r="M223" s="124"/>
      <c r="N223" s="135">
        <f t="shared" si="26"/>
        <v>0</v>
      </c>
      <c r="O223" s="135">
        <f t="shared" si="25"/>
        <v>0</v>
      </c>
      <c r="P223" s="135">
        <f t="shared" si="19"/>
        <v>0</v>
      </c>
      <c r="Q223" s="136" t="str">
        <f t="shared" si="20"/>
        <v/>
      </c>
    </row>
    <row r="224" spans="2:17" x14ac:dyDescent="0.25">
      <c r="B224" s="131">
        <f t="shared" si="21"/>
        <v>181</v>
      </c>
      <c r="C224" s="132">
        <f ca="1">IF(B224="","",'Fecha Pago'!K184)</f>
        <v>51198</v>
      </c>
      <c r="D224" s="133">
        <f>IF(B224="","",'Fecha Pago'!L184)</f>
        <v>30.4</v>
      </c>
      <c r="E224" s="134">
        <f t="shared" si="18"/>
        <v>9.3799999999999994E-2</v>
      </c>
      <c r="F224" s="135">
        <f t="shared" si="22"/>
        <v>0</v>
      </c>
      <c r="G224" s="135">
        <f>IF(B224="","",IF(F224=0,0,MIN(F224,IF(Catálogos!$N$6=1,Prepagos!C183,IF(Catálogos!$N$6=2,Prepagos!D183,IF(Catálogos!$N$6=3,Prepagos!E183,))))))</f>
        <v>0</v>
      </c>
      <c r="H224" s="135">
        <f t="shared" si="23"/>
        <v>0</v>
      </c>
      <c r="I224" s="135">
        <f t="shared" si="24"/>
        <v>0</v>
      </c>
      <c r="J224" s="135">
        <f>IF(B224="","",IF(F224=0,0,F224*Catálogos!$R$1))</f>
        <v>0</v>
      </c>
      <c r="K224" s="135">
        <f>IF(B224="","",IF(Catálogos!$K$10=1,Carátula!$F$17*Catálogos!$R$4,0))</f>
        <v>0</v>
      </c>
      <c r="L224" s="135">
        <f>IF(B224="","",IF(F224=0,0,CAT!H187))</f>
        <v>0</v>
      </c>
      <c r="M224" s="124"/>
      <c r="N224" s="135">
        <f t="shared" si="26"/>
        <v>0</v>
      </c>
      <c r="O224" s="135">
        <f t="shared" si="25"/>
        <v>0</v>
      </c>
      <c r="P224" s="135">
        <f t="shared" si="19"/>
        <v>0</v>
      </c>
      <c r="Q224" s="136" t="str">
        <f t="shared" si="20"/>
        <v/>
      </c>
    </row>
    <row r="225" spans="2:17" x14ac:dyDescent="0.25">
      <c r="B225" s="131">
        <f t="shared" si="21"/>
        <v>182</v>
      </c>
      <c r="C225" s="132">
        <f ca="1">IF(B225="","",'Fecha Pago'!K185)</f>
        <v>51229</v>
      </c>
      <c r="D225" s="133">
        <f>IF(B225="","",'Fecha Pago'!L185)</f>
        <v>30.4</v>
      </c>
      <c r="E225" s="134">
        <f t="shared" si="18"/>
        <v>9.3799999999999994E-2</v>
      </c>
      <c r="F225" s="135">
        <f t="shared" si="22"/>
        <v>0</v>
      </c>
      <c r="G225" s="135">
        <f>IF(B225="","",IF(F225=0,0,MIN(F225,IF(Catálogos!$N$6=1,Prepagos!C184,IF(Catálogos!$N$6=2,Prepagos!D184,IF(Catálogos!$N$6=3,Prepagos!E184,))))))</f>
        <v>0</v>
      </c>
      <c r="H225" s="135">
        <f t="shared" si="23"/>
        <v>0</v>
      </c>
      <c r="I225" s="135">
        <f t="shared" si="24"/>
        <v>0</v>
      </c>
      <c r="J225" s="135">
        <f>IF(B225="","",IF(F225=0,0,F225*Catálogos!$R$1))</f>
        <v>0</v>
      </c>
      <c r="K225" s="135">
        <f>IF(B225="","",IF(Catálogos!$K$10=1,Carátula!$F$17*Catálogos!$R$4,0))</f>
        <v>0</v>
      </c>
      <c r="L225" s="135">
        <f>IF(B225="","",IF(F225=0,0,CAT!H188))</f>
        <v>0</v>
      </c>
      <c r="M225" s="124"/>
      <c r="N225" s="135">
        <f t="shared" si="26"/>
        <v>0</v>
      </c>
      <c r="O225" s="135">
        <f t="shared" si="25"/>
        <v>0</v>
      </c>
      <c r="P225" s="135">
        <f t="shared" si="19"/>
        <v>0</v>
      </c>
      <c r="Q225" s="136" t="str">
        <f t="shared" si="20"/>
        <v/>
      </c>
    </row>
    <row r="226" spans="2:17" x14ac:dyDescent="0.25">
      <c r="B226" s="131">
        <f t="shared" si="21"/>
        <v>183</v>
      </c>
      <c r="C226" s="132">
        <f ca="1">IF(B226="","",'Fecha Pago'!K186)</f>
        <v>51259</v>
      </c>
      <c r="D226" s="133">
        <f>IF(B226="","",'Fecha Pago'!L186)</f>
        <v>30.4</v>
      </c>
      <c r="E226" s="134">
        <f t="shared" si="18"/>
        <v>9.3799999999999994E-2</v>
      </c>
      <c r="F226" s="135">
        <f t="shared" si="22"/>
        <v>0</v>
      </c>
      <c r="G226" s="135">
        <f>IF(B226="","",IF(F226=0,0,MIN(F226,IF(Catálogos!$N$6=1,Prepagos!C185,IF(Catálogos!$N$6=2,Prepagos!D185,IF(Catálogos!$N$6=3,Prepagos!E185,))))))</f>
        <v>0</v>
      </c>
      <c r="H226" s="135">
        <f t="shared" si="23"/>
        <v>0</v>
      </c>
      <c r="I226" s="135">
        <f t="shared" si="24"/>
        <v>0</v>
      </c>
      <c r="J226" s="135">
        <f>IF(B226="","",IF(F226=0,0,F226*Catálogos!$R$1))</f>
        <v>0</v>
      </c>
      <c r="K226" s="135">
        <f>IF(B226="","",IF(Catálogos!$K$10=1,Carátula!$F$17*Catálogos!$R$4,0))</f>
        <v>0</v>
      </c>
      <c r="L226" s="135">
        <f>IF(B226="","",IF(F226=0,0,CAT!H189))</f>
        <v>0</v>
      </c>
      <c r="M226" s="124"/>
      <c r="N226" s="135">
        <f t="shared" si="26"/>
        <v>0</v>
      </c>
      <c r="O226" s="135">
        <f t="shared" si="25"/>
        <v>0</v>
      </c>
      <c r="P226" s="135">
        <f t="shared" si="19"/>
        <v>0</v>
      </c>
      <c r="Q226" s="136" t="str">
        <f t="shared" si="20"/>
        <v/>
      </c>
    </row>
    <row r="227" spans="2:17" x14ac:dyDescent="0.25">
      <c r="B227" s="131">
        <f t="shared" si="21"/>
        <v>184</v>
      </c>
      <c r="C227" s="132">
        <f ca="1">IF(B227="","",'Fecha Pago'!K187)</f>
        <v>51290</v>
      </c>
      <c r="D227" s="133">
        <f>IF(B227="","",'Fecha Pago'!L187)</f>
        <v>30.4</v>
      </c>
      <c r="E227" s="134">
        <f t="shared" si="18"/>
        <v>9.3799999999999994E-2</v>
      </c>
      <c r="F227" s="135">
        <f t="shared" si="22"/>
        <v>0</v>
      </c>
      <c r="G227" s="135">
        <f>IF(B227="","",IF(F227=0,0,MIN(F227,IF(Catálogos!$N$6=1,Prepagos!C186,IF(Catálogos!$N$6=2,Prepagos!D186,IF(Catálogos!$N$6=3,Prepagos!E186,))))))</f>
        <v>0</v>
      </c>
      <c r="H227" s="135">
        <f t="shared" si="23"/>
        <v>0</v>
      </c>
      <c r="I227" s="135">
        <f t="shared" si="24"/>
        <v>0</v>
      </c>
      <c r="J227" s="135">
        <f>IF(B227="","",IF(F227=0,0,F227*Catálogos!$R$1))</f>
        <v>0</v>
      </c>
      <c r="K227" s="135">
        <f>IF(B227="","",IF(Catálogos!$K$10=1,Carátula!$F$17*Catálogos!$R$4,0))</f>
        <v>0</v>
      </c>
      <c r="L227" s="135">
        <f>IF(B227="","",IF(F227=0,0,CAT!H190))</f>
        <v>0</v>
      </c>
      <c r="M227" s="124"/>
      <c r="N227" s="135">
        <f t="shared" si="26"/>
        <v>0</v>
      </c>
      <c r="O227" s="135">
        <f t="shared" si="25"/>
        <v>0</v>
      </c>
      <c r="P227" s="135">
        <f t="shared" si="19"/>
        <v>0</v>
      </c>
      <c r="Q227" s="136" t="str">
        <f t="shared" si="20"/>
        <v/>
      </c>
    </row>
    <row r="228" spans="2:17" x14ac:dyDescent="0.25">
      <c r="B228" s="131">
        <f t="shared" si="21"/>
        <v>185</v>
      </c>
      <c r="C228" s="132">
        <f ca="1">IF(B228="","",'Fecha Pago'!K188)</f>
        <v>51320</v>
      </c>
      <c r="D228" s="133">
        <f>IF(B228="","",'Fecha Pago'!L188)</f>
        <v>30.4</v>
      </c>
      <c r="E228" s="134">
        <f t="shared" si="18"/>
        <v>9.3799999999999994E-2</v>
      </c>
      <c r="F228" s="135">
        <f t="shared" si="22"/>
        <v>0</v>
      </c>
      <c r="G228" s="135">
        <f>IF(B228="","",IF(F228=0,0,MIN(F228,IF(Catálogos!$N$6=1,Prepagos!C187,IF(Catálogos!$N$6=2,Prepagos!D187,IF(Catálogos!$N$6=3,Prepagos!E187,))))))</f>
        <v>0</v>
      </c>
      <c r="H228" s="135">
        <f t="shared" si="23"/>
        <v>0</v>
      </c>
      <c r="I228" s="135">
        <f t="shared" si="24"/>
        <v>0</v>
      </c>
      <c r="J228" s="135">
        <f>IF(B228="","",IF(F228=0,0,F228*Catálogos!$R$1))</f>
        <v>0</v>
      </c>
      <c r="K228" s="135">
        <f>IF(B228="","",IF(Catálogos!$K$10=1,Carátula!$F$17*Catálogos!$R$4,0))</f>
        <v>0</v>
      </c>
      <c r="L228" s="135">
        <f>IF(B228="","",IF(F228=0,0,CAT!H191))</f>
        <v>0</v>
      </c>
      <c r="M228" s="124"/>
      <c r="N228" s="135">
        <f t="shared" si="26"/>
        <v>0</v>
      </c>
      <c r="O228" s="135">
        <f t="shared" si="25"/>
        <v>0</v>
      </c>
      <c r="P228" s="135">
        <f t="shared" si="19"/>
        <v>0</v>
      </c>
      <c r="Q228" s="136" t="str">
        <f t="shared" si="20"/>
        <v/>
      </c>
    </row>
    <row r="229" spans="2:17" x14ac:dyDescent="0.25">
      <c r="B229" s="131">
        <f t="shared" si="21"/>
        <v>186</v>
      </c>
      <c r="C229" s="132">
        <f ca="1">IF(B229="","",'Fecha Pago'!K189)</f>
        <v>51351</v>
      </c>
      <c r="D229" s="133">
        <f>IF(B229="","",'Fecha Pago'!L189)</f>
        <v>30.4</v>
      </c>
      <c r="E229" s="134">
        <f t="shared" si="18"/>
        <v>9.3799999999999994E-2</v>
      </c>
      <c r="F229" s="135">
        <f t="shared" si="22"/>
        <v>0</v>
      </c>
      <c r="G229" s="135">
        <f>IF(B229="","",IF(F229=0,0,MIN(F229,IF(Catálogos!$N$6=1,Prepagos!C188,IF(Catálogos!$N$6=2,Prepagos!D188,IF(Catálogos!$N$6=3,Prepagos!E188,))))))</f>
        <v>0</v>
      </c>
      <c r="H229" s="135">
        <f t="shared" si="23"/>
        <v>0</v>
      </c>
      <c r="I229" s="135">
        <f t="shared" si="24"/>
        <v>0</v>
      </c>
      <c r="J229" s="135">
        <f>IF(B229="","",IF(F229=0,0,F229*Catálogos!$R$1))</f>
        <v>0</v>
      </c>
      <c r="K229" s="135">
        <f>IF(B229="","",IF(Catálogos!$K$10=1,Carátula!$F$17*Catálogos!$R$4,0))</f>
        <v>0</v>
      </c>
      <c r="L229" s="135">
        <f>IF(B229="","",IF(F229=0,0,CAT!H192))</f>
        <v>0</v>
      </c>
      <c r="M229" s="124"/>
      <c r="N229" s="135">
        <f t="shared" si="26"/>
        <v>0</v>
      </c>
      <c r="O229" s="135">
        <f t="shared" si="25"/>
        <v>0</v>
      </c>
      <c r="P229" s="135">
        <f t="shared" si="19"/>
        <v>0</v>
      </c>
      <c r="Q229" s="136" t="str">
        <f t="shared" si="20"/>
        <v/>
      </c>
    </row>
    <row r="230" spans="2:17" x14ac:dyDescent="0.25">
      <c r="B230" s="131">
        <f t="shared" si="21"/>
        <v>187</v>
      </c>
      <c r="C230" s="132">
        <f ca="1">IF(B230="","",'Fecha Pago'!K190)</f>
        <v>51382</v>
      </c>
      <c r="D230" s="133">
        <f>IF(B230="","",'Fecha Pago'!L190)</f>
        <v>30.4</v>
      </c>
      <c r="E230" s="134">
        <f t="shared" si="18"/>
        <v>9.3799999999999994E-2</v>
      </c>
      <c r="F230" s="135">
        <f t="shared" si="22"/>
        <v>0</v>
      </c>
      <c r="G230" s="135">
        <f>IF(B230="","",IF(F230=0,0,MIN(F230,IF(Catálogos!$N$6=1,Prepagos!C189,IF(Catálogos!$N$6=2,Prepagos!D189,IF(Catálogos!$N$6=3,Prepagos!E189,))))))</f>
        <v>0</v>
      </c>
      <c r="H230" s="135">
        <f t="shared" si="23"/>
        <v>0</v>
      </c>
      <c r="I230" s="135">
        <f t="shared" si="24"/>
        <v>0</v>
      </c>
      <c r="J230" s="135">
        <f>IF(B230="","",IF(F230=0,0,F230*Catálogos!$R$1))</f>
        <v>0</v>
      </c>
      <c r="K230" s="135">
        <f>IF(B230="","",IF(Catálogos!$K$10=1,Carátula!$F$17*Catálogos!$R$4,0))</f>
        <v>0</v>
      </c>
      <c r="L230" s="135">
        <f>IF(B230="","",IF(F230=0,0,CAT!H193))</f>
        <v>0</v>
      </c>
      <c r="M230" s="124"/>
      <c r="N230" s="135">
        <f t="shared" si="26"/>
        <v>0</v>
      </c>
      <c r="O230" s="135">
        <f t="shared" si="25"/>
        <v>0</v>
      </c>
      <c r="P230" s="135">
        <f t="shared" si="19"/>
        <v>0</v>
      </c>
      <c r="Q230" s="136" t="str">
        <f t="shared" si="20"/>
        <v/>
      </c>
    </row>
    <row r="231" spans="2:17" x14ac:dyDescent="0.25">
      <c r="B231" s="131">
        <f t="shared" si="21"/>
        <v>188</v>
      </c>
      <c r="C231" s="132">
        <f ca="1">IF(B231="","",'Fecha Pago'!K191)</f>
        <v>51412</v>
      </c>
      <c r="D231" s="133">
        <f>IF(B231="","",'Fecha Pago'!L191)</f>
        <v>30.4</v>
      </c>
      <c r="E231" s="134">
        <f t="shared" si="18"/>
        <v>9.3799999999999994E-2</v>
      </c>
      <c r="F231" s="135">
        <f t="shared" si="22"/>
        <v>0</v>
      </c>
      <c r="G231" s="135">
        <f>IF(B231="","",IF(F231=0,0,MIN(F231,IF(Catálogos!$N$6=1,Prepagos!C190,IF(Catálogos!$N$6=2,Prepagos!D190,IF(Catálogos!$N$6=3,Prepagos!E190,))))))</f>
        <v>0</v>
      </c>
      <c r="H231" s="135">
        <f t="shared" si="23"/>
        <v>0</v>
      </c>
      <c r="I231" s="135">
        <f t="shared" si="24"/>
        <v>0</v>
      </c>
      <c r="J231" s="135">
        <f>IF(B231="","",IF(F231=0,0,F231*Catálogos!$R$1))</f>
        <v>0</v>
      </c>
      <c r="K231" s="135">
        <f>IF(B231="","",IF(Catálogos!$K$10=1,Carátula!$F$17*Catálogos!$R$4,0))</f>
        <v>0</v>
      </c>
      <c r="L231" s="135">
        <f>IF(B231="","",IF(F231=0,0,CAT!H194))</f>
        <v>0</v>
      </c>
      <c r="M231" s="124"/>
      <c r="N231" s="135">
        <f t="shared" si="26"/>
        <v>0</v>
      </c>
      <c r="O231" s="135">
        <f t="shared" si="25"/>
        <v>0</v>
      </c>
      <c r="P231" s="135">
        <f t="shared" si="19"/>
        <v>0</v>
      </c>
      <c r="Q231" s="136" t="str">
        <f t="shared" si="20"/>
        <v/>
      </c>
    </row>
    <row r="232" spans="2:17" x14ac:dyDescent="0.25">
      <c r="B232" s="131">
        <f t="shared" si="21"/>
        <v>189</v>
      </c>
      <c r="C232" s="132">
        <f ca="1">IF(B232="","",'Fecha Pago'!K192)</f>
        <v>51443</v>
      </c>
      <c r="D232" s="133">
        <f>IF(B232="","",'Fecha Pago'!L192)</f>
        <v>30.4</v>
      </c>
      <c r="E232" s="134">
        <f t="shared" si="18"/>
        <v>9.3799999999999994E-2</v>
      </c>
      <c r="F232" s="135">
        <f t="shared" si="22"/>
        <v>0</v>
      </c>
      <c r="G232" s="135">
        <f>IF(B232="","",IF(F232=0,0,MIN(F232,IF(Catálogos!$N$6=1,Prepagos!C191,IF(Catálogos!$N$6=2,Prepagos!D191,IF(Catálogos!$N$6=3,Prepagos!E191,))))))</f>
        <v>0</v>
      </c>
      <c r="H232" s="135">
        <f t="shared" si="23"/>
        <v>0</v>
      </c>
      <c r="I232" s="135">
        <f t="shared" si="24"/>
        <v>0</v>
      </c>
      <c r="J232" s="135">
        <f>IF(B232="","",IF(F232=0,0,F232*Catálogos!$R$1))</f>
        <v>0</v>
      </c>
      <c r="K232" s="135">
        <f>IF(B232="","",IF(Catálogos!$K$10=1,Carátula!$F$17*Catálogos!$R$4,0))</f>
        <v>0</v>
      </c>
      <c r="L232" s="135">
        <f>IF(B232="","",IF(F232=0,0,CAT!H195))</f>
        <v>0</v>
      </c>
      <c r="M232" s="124"/>
      <c r="N232" s="135">
        <f t="shared" si="26"/>
        <v>0</v>
      </c>
      <c r="O232" s="135">
        <f t="shared" si="25"/>
        <v>0</v>
      </c>
      <c r="P232" s="135">
        <f t="shared" si="19"/>
        <v>0</v>
      </c>
      <c r="Q232" s="136" t="str">
        <f t="shared" si="20"/>
        <v/>
      </c>
    </row>
    <row r="233" spans="2:17" x14ac:dyDescent="0.25">
      <c r="B233" s="131">
        <f t="shared" si="21"/>
        <v>190</v>
      </c>
      <c r="C233" s="132">
        <f ca="1">IF(B233="","",'Fecha Pago'!K193)</f>
        <v>51473</v>
      </c>
      <c r="D233" s="133">
        <f>IF(B233="","",'Fecha Pago'!L193)</f>
        <v>30.4</v>
      </c>
      <c r="E233" s="134">
        <f t="shared" si="18"/>
        <v>9.3799999999999994E-2</v>
      </c>
      <c r="F233" s="135">
        <f t="shared" si="22"/>
        <v>0</v>
      </c>
      <c r="G233" s="135">
        <f>IF(B233="","",IF(F233=0,0,MIN(F233,IF(Catálogos!$N$6=1,Prepagos!C192,IF(Catálogos!$N$6=2,Prepagos!D192,IF(Catálogos!$N$6=3,Prepagos!E192,))))))</f>
        <v>0</v>
      </c>
      <c r="H233" s="135">
        <f t="shared" si="23"/>
        <v>0</v>
      </c>
      <c r="I233" s="135">
        <f t="shared" si="24"/>
        <v>0</v>
      </c>
      <c r="J233" s="135">
        <f>IF(B233="","",IF(F233=0,0,F233*Catálogos!$R$1))</f>
        <v>0</v>
      </c>
      <c r="K233" s="135">
        <f>IF(B233="","",IF(Catálogos!$K$10=1,Carátula!$F$17*Catálogos!$R$4,0))</f>
        <v>0</v>
      </c>
      <c r="L233" s="135">
        <f>IF(B233="","",IF(F233=0,0,CAT!H196))</f>
        <v>0</v>
      </c>
      <c r="M233" s="124"/>
      <c r="N233" s="135">
        <f t="shared" si="26"/>
        <v>0</v>
      </c>
      <c r="O233" s="135">
        <f t="shared" si="25"/>
        <v>0</v>
      </c>
      <c r="P233" s="135">
        <f t="shared" si="19"/>
        <v>0</v>
      </c>
      <c r="Q233" s="136" t="str">
        <f t="shared" si="20"/>
        <v/>
      </c>
    </row>
    <row r="234" spans="2:17" x14ac:dyDescent="0.25">
      <c r="B234" s="131">
        <f t="shared" si="21"/>
        <v>191</v>
      </c>
      <c r="C234" s="132">
        <f ca="1">IF(B234="","",'Fecha Pago'!K194)</f>
        <v>51504</v>
      </c>
      <c r="D234" s="133">
        <f>IF(B234="","",'Fecha Pago'!L194)</f>
        <v>30.4</v>
      </c>
      <c r="E234" s="134">
        <f t="shared" si="18"/>
        <v>9.3799999999999994E-2</v>
      </c>
      <c r="F234" s="135">
        <f t="shared" si="22"/>
        <v>0</v>
      </c>
      <c r="G234" s="135">
        <f>IF(B234="","",IF(F234=0,0,MIN(F234,IF(Catálogos!$N$6=1,Prepagos!C193,IF(Catálogos!$N$6=2,Prepagos!D193,IF(Catálogos!$N$6=3,Prepagos!E193,))))))</f>
        <v>0</v>
      </c>
      <c r="H234" s="135">
        <f t="shared" si="23"/>
        <v>0</v>
      </c>
      <c r="I234" s="135">
        <f t="shared" si="24"/>
        <v>0</v>
      </c>
      <c r="J234" s="135">
        <f>IF(B234="","",IF(F234=0,0,F234*Catálogos!$R$1))</f>
        <v>0</v>
      </c>
      <c r="K234" s="135">
        <f>IF(B234="","",IF(Catálogos!$K$10=1,Carátula!$F$17*Catálogos!$R$4,0))</f>
        <v>0</v>
      </c>
      <c r="L234" s="135">
        <f>IF(B234="","",IF(F234=0,0,CAT!H197))</f>
        <v>0</v>
      </c>
      <c r="M234" s="124"/>
      <c r="N234" s="135">
        <f t="shared" si="26"/>
        <v>0</v>
      </c>
      <c r="O234" s="135">
        <f t="shared" si="25"/>
        <v>0</v>
      </c>
      <c r="P234" s="135">
        <f t="shared" si="19"/>
        <v>0</v>
      </c>
      <c r="Q234" s="136" t="str">
        <f t="shared" si="20"/>
        <v/>
      </c>
    </row>
    <row r="235" spans="2:17" x14ac:dyDescent="0.25">
      <c r="B235" s="131">
        <f t="shared" si="21"/>
        <v>192</v>
      </c>
      <c r="C235" s="132">
        <f ca="1">IF(B235="","",'Fecha Pago'!K195)</f>
        <v>51535</v>
      </c>
      <c r="D235" s="133">
        <f>IF(B235="","",'Fecha Pago'!L195)</f>
        <v>30.4</v>
      </c>
      <c r="E235" s="134">
        <f t="shared" si="18"/>
        <v>9.3799999999999994E-2</v>
      </c>
      <c r="F235" s="135">
        <f t="shared" si="22"/>
        <v>0</v>
      </c>
      <c r="G235" s="135">
        <f>IF(B235="","",IF(F235=0,0,MIN(F235,IF(Catálogos!$N$6=1,Prepagos!C194,IF(Catálogos!$N$6=2,Prepagos!D194,IF(Catálogos!$N$6=3,Prepagos!E194,))))))</f>
        <v>0</v>
      </c>
      <c r="H235" s="135">
        <f t="shared" si="23"/>
        <v>0</v>
      </c>
      <c r="I235" s="135">
        <f t="shared" si="24"/>
        <v>0</v>
      </c>
      <c r="J235" s="135">
        <f>IF(B235="","",IF(F235=0,0,F235*Catálogos!$R$1))</f>
        <v>0</v>
      </c>
      <c r="K235" s="135">
        <f>IF(B235="","",IF(Catálogos!$K$10=1,Carátula!$F$17*Catálogos!$R$4,0))</f>
        <v>0</v>
      </c>
      <c r="L235" s="135">
        <f>IF(B235="","",IF(F235=0,0,CAT!H198))</f>
        <v>0</v>
      </c>
      <c r="M235" s="124"/>
      <c r="N235" s="135">
        <f t="shared" si="26"/>
        <v>0</v>
      </c>
      <c r="O235" s="135">
        <f t="shared" si="25"/>
        <v>0</v>
      </c>
      <c r="P235" s="135">
        <f t="shared" si="19"/>
        <v>0</v>
      </c>
      <c r="Q235" s="136" t="str">
        <f t="shared" si="20"/>
        <v/>
      </c>
    </row>
    <row r="236" spans="2:17" x14ac:dyDescent="0.25">
      <c r="B236" s="131">
        <f t="shared" si="21"/>
        <v>193</v>
      </c>
      <c r="C236" s="132">
        <f ca="1">IF(B236="","",'Fecha Pago'!K196)</f>
        <v>51563</v>
      </c>
      <c r="D236" s="133">
        <f>IF(B236="","",'Fecha Pago'!L196)</f>
        <v>30.4</v>
      </c>
      <c r="E236" s="134">
        <f t="shared" ref="E236:E283" si="27">IF(B236="","",$E$39)</f>
        <v>9.3799999999999994E-2</v>
      </c>
      <c r="F236" s="135">
        <f t="shared" si="22"/>
        <v>0</v>
      </c>
      <c r="G236" s="135">
        <f>IF(B236="","",IF(F236=0,0,MIN(F236,IF(Catálogos!$N$6=1,Prepagos!C195,IF(Catálogos!$N$6=2,Prepagos!D195,IF(Catálogos!$N$6=3,Prepagos!E195,))))))</f>
        <v>0</v>
      </c>
      <c r="H236" s="135">
        <f t="shared" si="23"/>
        <v>0</v>
      </c>
      <c r="I236" s="135">
        <f t="shared" si="24"/>
        <v>0</v>
      </c>
      <c r="J236" s="135">
        <f>IF(B236="","",IF(F236=0,0,F236*Catálogos!$R$1))</f>
        <v>0</v>
      </c>
      <c r="K236" s="135">
        <f>IF(B236="","",IF(Catálogos!$K$10=1,Carátula!$F$17*Catálogos!$R$4,0))</f>
        <v>0</v>
      </c>
      <c r="L236" s="135">
        <f>IF(B236="","",IF(F236=0,0,CAT!H199))</f>
        <v>0</v>
      </c>
      <c r="M236" s="124"/>
      <c r="N236" s="135">
        <f t="shared" si="26"/>
        <v>0</v>
      </c>
      <c r="O236" s="135">
        <f t="shared" si="25"/>
        <v>0</v>
      </c>
      <c r="P236" s="135">
        <f t="shared" ref="P236:P283" si="28">IF(B236="","",F236-G236)</f>
        <v>0</v>
      </c>
      <c r="Q236" s="136" t="str">
        <f t="shared" ref="Q236:Q283" si="29">IF(OR(B236="",F236=0),"",1)</f>
        <v/>
      </c>
    </row>
    <row r="237" spans="2:17" x14ac:dyDescent="0.25">
      <c r="B237" s="131">
        <f t="shared" ref="B237:B283" si="30">IF(B236=$H$29,"",IF(B236="","",B236+1))</f>
        <v>194</v>
      </c>
      <c r="C237" s="132">
        <f ca="1">IF(B237="","",'Fecha Pago'!K197)</f>
        <v>51594</v>
      </c>
      <c r="D237" s="133">
        <f>IF(B237="","",'Fecha Pago'!L197)</f>
        <v>30.4</v>
      </c>
      <c r="E237" s="134">
        <f t="shared" si="27"/>
        <v>9.3799999999999994E-2</v>
      </c>
      <c r="F237" s="135">
        <f t="shared" ref="F237:F283" si="31">IF(B237="","",P236)</f>
        <v>0</v>
      </c>
      <c r="G237" s="135">
        <f>IF(B237="","",IF(F237=0,0,MIN(F237,IF(Catálogos!$N$6=1,Prepagos!C196,IF(Catálogos!$N$6=2,Prepagos!D196,IF(Catálogos!$N$6=3,Prepagos!E196,))))))</f>
        <v>0</v>
      </c>
      <c r="H237" s="135">
        <f t="shared" ref="H237:H283" si="32">IF(B237="","",IF(F237=0,0,(E237/360*D237)*F237))</f>
        <v>0</v>
      </c>
      <c r="I237" s="135">
        <f t="shared" ref="I237:I283" si="33">IF(B237="","",IF($I$43&lt;&gt;"",H237*0.16,0))</f>
        <v>0</v>
      </c>
      <c r="J237" s="135">
        <f>IF(B237="","",IF(F237=0,0,F237*Catálogos!$R$1))</f>
        <v>0</v>
      </c>
      <c r="K237" s="135">
        <f>IF(B237="","",IF(Catálogos!$K$10=1,Carátula!$F$17*Catálogos!$R$4,0))</f>
        <v>0</v>
      </c>
      <c r="L237" s="135">
        <f>IF(B237="","",IF(F237=0,0,CAT!H200))</f>
        <v>0</v>
      </c>
      <c r="M237" s="124"/>
      <c r="N237" s="135">
        <f t="shared" si="26"/>
        <v>0</v>
      </c>
      <c r="O237" s="135">
        <f t="shared" ref="O237:O283" si="34">IF(B237="","",G237+H237+I237+J237+K237+L237)</f>
        <v>0</v>
      </c>
      <c r="P237" s="135">
        <f t="shared" si="28"/>
        <v>0</v>
      </c>
      <c r="Q237" s="136" t="str">
        <f t="shared" si="29"/>
        <v/>
      </c>
    </row>
    <row r="238" spans="2:17" x14ac:dyDescent="0.25">
      <c r="B238" s="131">
        <f t="shared" si="30"/>
        <v>195</v>
      </c>
      <c r="C238" s="132">
        <f ca="1">IF(B238="","",'Fecha Pago'!K198)</f>
        <v>51624</v>
      </c>
      <c r="D238" s="133">
        <f>IF(B238="","",'Fecha Pago'!L198)</f>
        <v>30.4</v>
      </c>
      <c r="E238" s="134">
        <f t="shared" si="27"/>
        <v>9.3799999999999994E-2</v>
      </c>
      <c r="F238" s="135">
        <f t="shared" si="31"/>
        <v>0</v>
      </c>
      <c r="G238" s="135">
        <f>IF(B238="","",IF(F238=0,0,MIN(F238,IF(Catálogos!$N$6=1,Prepagos!C197,IF(Catálogos!$N$6=2,Prepagos!D197,IF(Catálogos!$N$6=3,Prepagos!E197,))))))</f>
        <v>0</v>
      </c>
      <c r="H238" s="135">
        <f t="shared" si="32"/>
        <v>0</v>
      </c>
      <c r="I238" s="135">
        <f t="shared" si="33"/>
        <v>0</v>
      </c>
      <c r="J238" s="135">
        <f>IF(B238="","",IF(F238=0,0,F238*Catálogos!$R$1))</f>
        <v>0</v>
      </c>
      <c r="K238" s="135">
        <f>IF(B238="","",IF(Catálogos!$K$10=1,Carátula!$F$17*Catálogos!$R$4,0))</f>
        <v>0</v>
      </c>
      <c r="L238" s="135">
        <f>IF(B238="","",IF(F238=0,0,CAT!H201))</f>
        <v>0</v>
      </c>
      <c r="M238" s="124"/>
      <c r="N238" s="135">
        <f t="shared" si="26"/>
        <v>0</v>
      </c>
      <c r="O238" s="135">
        <f t="shared" si="34"/>
        <v>0</v>
      </c>
      <c r="P238" s="135">
        <f t="shared" si="28"/>
        <v>0</v>
      </c>
      <c r="Q238" s="136" t="str">
        <f t="shared" si="29"/>
        <v/>
      </c>
    </row>
    <row r="239" spans="2:17" x14ac:dyDescent="0.25">
      <c r="B239" s="131">
        <f t="shared" si="30"/>
        <v>196</v>
      </c>
      <c r="C239" s="132">
        <f ca="1">IF(B239="","",'Fecha Pago'!K199)</f>
        <v>51655</v>
      </c>
      <c r="D239" s="133">
        <f>IF(B239="","",'Fecha Pago'!L199)</f>
        <v>30.4</v>
      </c>
      <c r="E239" s="134">
        <f t="shared" si="27"/>
        <v>9.3799999999999994E-2</v>
      </c>
      <c r="F239" s="135">
        <f t="shared" si="31"/>
        <v>0</v>
      </c>
      <c r="G239" s="135">
        <f>IF(B239="","",IF(F239=0,0,MIN(F239,IF(Catálogos!$N$6=1,Prepagos!C198,IF(Catálogos!$N$6=2,Prepagos!D198,IF(Catálogos!$N$6=3,Prepagos!E198,))))))</f>
        <v>0</v>
      </c>
      <c r="H239" s="135">
        <f t="shared" si="32"/>
        <v>0</v>
      </c>
      <c r="I239" s="135">
        <f t="shared" si="33"/>
        <v>0</v>
      </c>
      <c r="J239" s="135">
        <f>IF(B239="","",IF(F239=0,0,F239*Catálogos!$R$1))</f>
        <v>0</v>
      </c>
      <c r="K239" s="135">
        <f>IF(B239="","",IF(Catálogos!$K$10=1,Carátula!$F$17*Catálogos!$R$4,0))</f>
        <v>0</v>
      </c>
      <c r="L239" s="135">
        <f>IF(B239="","",IF(F239=0,0,CAT!H202))</f>
        <v>0</v>
      </c>
      <c r="M239" s="124"/>
      <c r="N239" s="135">
        <f t="shared" si="26"/>
        <v>0</v>
      </c>
      <c r="O239" s="135">
        <f t="shared" si="34"/>
        <v>0</v>
      </c>
      <c r="P239" s="135">
        <f t="shared" si="28"/>
        <v>0</v>
      </c>
      <c r="Q239" s="136" t="str">
        <f t="shared" si="29"/>
        <v/>
      </c>
    </row>
    <row r="240" spans="2:17" x14ac:dyDescent="0.25">
      <c r="B240" s="131">
        <f t="shared" si="30"/>
        <v>197</v>
      </c>
      <c r="C240" s="132">
        <f ca="1">IF(B240="","",'Fecha Pago'!K200)</f>
        <v>51685</v>
      </c>
      <c r="D240" s="133">
        <f>IF(B240="","",'Fecha Pago'!L200)</f>
        <v>30.4</v>
      </c>
      <c r="E240" s="134">
        <f t="shared" si="27"/>
        <v>9.3799999999999994E-2</v>
      </c>
      <c r="F240" s="135">
        <f t="shared" si="31"/>
        <v>0</v>
      </c>
      <c r="G240" s="135">
        <f>IF(B240="","",IF(F240=0,0,MIN(F240,IF(Catálogos!$N$6=1,Prepagos!C199,IF(Catálogos!$N$6=2,Prepagos!D199,IF(Catálogos!$N$6=3,Prepagos!E199,))))))</f>
        <v>0</v>
      </c>
      <c r="H240" s="135">
        <f t="shared" si="32"/>
        <v>0</v>
      </c>
      <c r="I240" s="135">
        <f t="shared" si="33"/>
        <v>0</v>
      </c>
      <c r="J240" s="135">
        <f>IF(B240="","",IF(F240=0,0,F240*Catálogos!$R$1))</f>
        <v>0</v>
      </c>
      <c r="K240" s="135">
        <f>IF(B240="","",IF(Catálogos!$K$10=1,Carátula!$F$17*Catálogos!$R$4,0))</f>
        <v>0</v>
      </c>
      <c r="L240" s="135">
        <f>IF(B240="","",IF(F240=0,0,CAT!H203))</f>
        <v>0</v>
      </c>
      <c r="M240" s="124"/>
      <c r="N240" s="135">
        <f t="shared" si="26"/>
        <v>0</v>
      </c>
      <c r="O240" s="135">
        <f t="shared" si="34"/>
        <v>0</v>
      </c>
      <c r="P240" s="135">
        <f t="shared" si="28"/>
        <v>0</v>
      </c>
      <c r="Q240" s="136" t="str">
        <f t="shared" si="29"/>
        <v/>
      </c>
    </row>
    <row r="241" spans="2:17" x14ac:dyDescent="0.25">
      <c r="B241" s="131">
        <f t="shared" si="30"/>
        <v>198</v>
      </c>
      <c r="C241" s="132">
        <f ca="1">IF(B241="","",'Fecha Pago'!K201)</f>
        <v>51716</v>
      </c>
      <c r="D241" s="133">
        <f>IF(B241="","",'Fecha Pago'!L201)</f>
        <v>30.4</v>
      </c>
      <c r="E241" s="134">
        <f t="shared" si="27"/>
        <v>9.3799999999999994E-2</v>
      </c>
      <c r="F241" s="135">
        <f t="shared" si="31"/>
        <v>0</v>
      </c>
      <c r="G241" s="135">
        <f>IF(B241="","",IF(F241=0,0,MIN(F241,IF(Catálogos!$N$6=1,Prepagos!C200,IF(Catálogos!$N$6=2,Prepagos!D200,IF(Catálogos!$N$6=3,Prepagos!E200,))))))</f>
        <v>0</v>
      </c>
      <c r="H241" s="135">
        <f t="shared" si="32"/>
        <v>0</v>
      </c>
      <c r="I241" s="135">
        <f t="shared" si="33"/>
        <v>0</v>
      </c>
      <c r="J241" s="135">
        <f>IF(B241="","",IF(F241=0,0,F241*Catálogos!$R$1))</f>
        <v>0</v>
      </c>
      <c r="K241" s="135">
        <f>IF(B241="","",IF(Catálogos!$K$10=1,Carátula!$F$17*Catálogos!$R$4,0))</f>
        <v>0</v>
      </c>
      <c r="L241" s="135">
        <f>IF(B241="","",IF(F241=0,0,CAT!H204))</f>
        <v>0</v>
      </c>
      <c r="M241" s="124"/>
      <c r="N241" s="135">
        <f t="shared" si="26"/>
        <v>0</v>
      </c>
      <c r="O241" s="135">
        <f t="shared" si="34"/>
        <v>0</v>
      </c>
      <c r="P241" s="135">
        <f t="shared" si="28"/>
        <v>0</v>
      </c>
      <c r="Q241" s="136" t="str">
        <f t="shared" si="29"/>
        <v/>
      </c>
    </row>
    <row r="242" spans="2:17" x14ac:dyDescent="0.25">
      <c r="B242" s="131">
        <f t="shared" si="30"/>
        <v>199</v>
      </c>
      <c r="C242" s="132">
        <f ca="1">IF(B242="","",'Fecha Pago'!K202)</f>
        <v>51747</v>
      </c>
      <c r="D242" s="133">
        <f>IF(B242="","",'Fecha Pago'!L202)</f>
        <v>30.4</v>
      </c>
      <c r="E242" s="134">
        <f t="shared" si="27"/>
        <v>9.3799999999999994E-2</v>
      </c>
      <c r="F242" s="135">
        <f t="shared" si="31"/>
        <v>0</v>
      </c>
      <c r="G242" s="135">
        <f>IF(B242="","",IF(F242=0,0,MIN(F242,IF(Catálogos!$N$6=1,Prepagos!C201,IF(Catálogos!$N$6=2,Prepagos!D201,IF(Catálogos!$N$6=3,Prepagos!E201,))))))</f>
        <v>0</v>
      </c>
      <c r="H242" s="135">
        <f t="shared" si="32"/>
        <v>0</v>
      </c>
      <c r="I242" s="135">
        <f t="shared" si="33"/>
        <v>0</v>
      </c>
      <c r="J242" s="135">
        <f>IF(B242="","",IF(F242=0,0,F242*Catálogos!$R$1))</f>
        <v>0</v>
      </c>
      <c r="K242" s="135">
        <f>IF(B242="","",IF(Catálogos!$K$10=1,Carátula!$F$17*Catálogos!$R$4,0))</f>
        <v>0</v>
      </c>
      <c r="L242" s="135">
        <f>IF(B242="","",IF(F242=0,0,CAT!H205))</f>
        <v>0</v>
      </c>
      <c r="M242" s="124"/>
      <c r="N242" s="135">
        <f t="shared" si="26"/>
        <v>0</v>
      </c>
      <c r="O242" s="135">
        <f t="shared" si="34"/>
        <v>0</v>
      </c>
      <c r="P242" s="135">
        <f t="shared" si="28"/>
        <v>0</v>
      </c>
      <c r="Q242" s="136" t="str">
        <f t="shared" si="29"/>
        <v/>
      </c>
    </row>
    <row r="243" spans="2:17" x14ac:dyDescent="0.25">
      <c r="B243" s="131">
        <f t="shared" si="30"/>
        <v>200</v>
      </c>
      <c r="C243" s="132">
        <f ca="1">IF(B243="","",'Fecha Pago'!K203)</f>
        <v>51777</v>
      </c>
      <c r="D243" s="133">
        <f>IF(B243="","",'Fecha Pago'!L203)</f>
        <v>30.4</v>
      </c>
      <c r="E243" s="134">
        <f t="shared" si="27"/>
        <v>9.3799999999999994E-2</v>
      </c>
      <c r="F243" s="135">
        <f t="shared" si="31"/>
        <v>0</v>
      </c>
      <c r="G243" s="135">
        <f>IF(B243="","",IF(F243=0,0,MIN(F243,IF(Catálogos!$N$6=1,Prepagos!C202,IF(Catálogos!$N$6=2,Prepagos!D202,IF(Catálogos!$N$6=3,Prepagos!E202,))))))</f>
        <v>0</v>
      </c>
      <c r="H243" s="135">
        <f t="shared" si="32"/>
        <v>0</v>
      </c>
      <c r="I243" s="135">
        <f t="shared" si="33"/>
        <v>0</v>
      </c>
      <c r="J243" s="135">
        <f>IF(B243="","",IF(F243=0,0,F243*Catálogos!$R$1))</f>
        <v>0</v>
      </c>
      <c r="K243" s="135">
        <f>IF(B243="","",IF(Catálogos!$K$10=1,Carátula!$F$17*Catálogos!$R$4,0))</f>
        <v>0</v>
      </c>
      <c r="L243" s="135">
        <f>IF(B243="","",IF(F243=0,0,CAT!H206))</f>
        <v>0</v>
      </c>
      <c r="M243" s="124"/>
      <c r="N243" s="135">
        <f t="shared" si="26"/>
        <v>0</v>
      </c>
      <c r="O243" s="135">
        <f t="shared" si="34"/>
        <v>0</v>
      </c>
      <c r="P243" s="135">
        <f t="shared" si="28"/>
        <v>0</v>
      </c>
      <c r="Q243" s="136" t="str">
        <f t="shared" si="29"/>
        <v/>
      </c>
    </row>
    <row r="244" spans="2:17" x14ac:dyDescent="0.25">
      <c r="B244" s="131">
        <f t="shared" si="30"/>
        <v>201</v>
      </c>
      <c r="C244" s="132">
        <f ca="1">IF(B244="","",'Fecha Pago'!K204)</f>
        <v>51808</v>
      </c>
      <c r="D244" s="133">
        <f>IF(B244="","",'Fecha Pago'!L204)</f>
        <v>30.4</v>
      </c>
      <c r="E244" s="134">
        <f t="shared" si="27"/>
        <v>9.3799999999999994E-2</v>
      </c>
      <c r="F244" s="135">
        <f t="shared" si="31"/>
        <v>0</v>
      </c>
      <c r="G244" s="135">
        <f>IF(B244="","",IF(F244=0,0,MIN(F244,IF(Catálogos!$N$6=1,Prepagos!C203,IF(Catálogos!$N$6=2,Prepagos!D203,IF(Catálogos!$N$6=3,Prepagos!E203,))))))</f>
        <v>0</v>
      </c>
      <c r="H244" s="135">
        <f t="shared" si="32"/>
        <v>0</v>
      </c>
      <c r="I244" s="135">
        <f t="shared" si="33"/>
        <v>0</v>
      </c>
      <c r="J244" s="135">
        <f>IF(B244="","",IF(F244=0,0,F244*Catálogos!$R$1))</f>
        <v>0</v>
      </c>
      <c r="K244" s="135">
        <f>IF(B244="","",IF(Catálogos!$K$10=1,Carátula!$F$17*Catálogos!$R$4,0))</f>
        <v>0</v>
      </c>
      <c r="L244" s="135">
        <f>IF(B244="","",IF(F244=0,0,CAT!H207))</f>
        <v>0</v>
      </c>
      <c r="M244" s="124"/>
      <c r="N244" s="135">
        <f t="shared" si="26"/>
        <v>0</v>
      </c>
      <c r="O244" s="135">
        <f t="shared" si="34"/>
        <v>0</v>
      </c>
      <c r="P244" s="135">
        <f t="shared" si="28"/>
        <v>0</v>
      </c>
      <c r="Q244" s="136" t="str">
        <f t="shared" si="29"/>
        <v/>
      </c>
    </row>
    <row r="245" spans="2:17" x14ac:dyDescent="0.25">
      <c r="B245" s="131">
        <f t="shared" si="30"/>
        <v>202</v>
      </c>
      <c r="C245" s="132">
        <f ca="1">IF(B245="","",'Fecha Pago'!K205)</f>
        <v>51838</v>
      </c>
      <c r="D245" s="133">
        <f>IF(B245="","",'Fecha Pago'!L205)</f>
        <v>30.4</v>
      </c>
      <c r="E245" s="134">
        <f t="shared" si="27"/>
        <v>9.3799999999999994E-2</v>
      </c>
      <c r="F245" s="135">
        <f t="shared" si="31"/>
        <v>0</v>
      </c>
      <c r="G245" s="135">
        <f>IF(B245="","",IF(F245=0,0,MIN(F245,IF(Catálogos!$N$6=1,Prepagos!C204,IF(Catálogos!$N$6=2,Prepagos!D204,IF(Catálogos!$N$6=3,Prepagos!E204,))))))</f>
        <v>0</v>
      </c>
      <c r="H245" s="135">
        <f t="shared" si="32"/>
        <v>0</v>
      </c>
      <c r="I245" s="135">
        <f t="shared" si="33"/>
        <v>0</v>
      </c>
      <c r="J245" s="135">
        <f>IF(B245="","",IF(F245=0,0,F245*Catálogos!$R$1))</f>
        <v>0</v>
      </c>
      <c r="K245" s="135">
        <f>IF(B245="","",IF(Catálogos!$K$10=1,Carátula!$F$17*Catálogos!$R$4,0))</f>
        <v>0</v>
      </c>
      <c r="L245" s="135">
        <f>IF(B245="","",IF(F245=0,0,CAT!H208))</f>
        <v>0</v>
      </c>
      <c r="M245" s="124"/>
      <c r="N245" s="135">
        <f t="shared" si="26"/>
        <v>0</v>
      </c>
      <c r="O245" s="135">
        <f t="shared" si="34"/>
        <v>0</v>
      </c>
      <c r="P245" s="135">
        <f t="shared" si="28"/>
        <v>0</v>
      </c>
      <c r="Q245" s="136" t="str">
        <f t="shared" si="29"/>
        <v/>
      </c>
    </row>
    <row r="246" spans="2:17" x14ac:dyDescent="0.25">
      <c r="B246" s="131">
        <f t="shared" si="30"/>
        <v>203</v>
      </c>
      <c r="C246" s="132">
        <f ca="1">IF(B246="","",'Fecha Pago'!K206)</f>
        <v>51869</v>
      </c>
      <c r="D246" s="133">
        <f>IF(B246="","",'Fecha Pago'!L206)</f>
        <v>30.4</v>
      </c>
      <c r="E246" s="134">
        <f t="shared" si="27"/>
        <v>9.3799999999999994E-2</v>
      </c>
      <c r="F246" s="135">
        <f t="shared" si="31"/>
        <v>0</v>
      </c>
      <c r="G246" s="135">
        <f>IF(B246="","",IF(F246=0,0,MIN(F246,IF(Catálogos!$N$6=1,Prepagos!C205,IF(Catálogos!$N$6=2,Prepagos!D205,IF(Catálogos!$N$6=3,Prepagos!E205,))))))</f>
        <v>0</v>
      </c>
      <c r="H246" s="135">
        <f t="shared" si="32"/>
        <v>0</v>
      </c>
      <c r="I246" s="135">
        <f t="shared" si="33"/>
        <v>0</v>
      </c>
      <c r="J246" s="135">
        <f>IF(B246="","",IF(F246=0,0,F246*Catálogos!$R$1))</f>
        <v>0</v>
      </c>
      <c r="K246" s="135">
        <f>IF(B246="","",IF(Catálogos!$K$10=1,Carátula!$F$17*Catálogos!$R$4,0))</f>
        <v>0</v>
      </c>
      <c r="L246" s="135">
        <f>IF(B246="","",IF(F246=0,0,CAT!H209))</f>
        <v>0</v>
      </c>
      <c r="M246" s="124"/>
      <c r="N246" s="135">
        <f t="shared" si="26"/>
        <v>0</v>
      </c>
      <c r="O246" s="135">
        <f t="shared" si="34"/>
        <v>0</v>
      </c>
      <c r="P246" s="135">
        <f t="shared" si="28"/>
        <v>0</v>
      </c>
      <c r="Q246" s="136" t="str">
        <f t="shared" si="29"/>
        <v/>
      </c>
    </row>
    <row r="247" spans="2:17" x14ac:dyDescent="0.25">
      <c r="B247" s="131">
        <f t="shared" si="30"/>
        <v>204</v>
      </c>
      <c r="C247" s="132">
        <f ca="1">IF(B247="","",'Fecha Pago'!K207)</f>
        <v>51900</v>
      </c>
      <c r="D247" s="133">
        <f>IF(B247="","",'Fecha Pago'!L207)</f>
        <v>30.4</v>
      </c>
      <c r="E247" s="134">
        <f t="shared" si="27"/>
        <v>9.3799999999999994E-2</v>
      </c>
      <c r="F247" s="135">
        <f t="shared" si="31"/>
        <v>0</v>
      </c>
      <c r="G247" s="135">
        <f>IF(B247="","",IF(F247=0,0,MIN(F247,IF(Catálogos!$N$6=1,Prepagos!C206,IF(Catálogos!$N$6=2,Prepagos!D206,IF(Catálogos!$N$6=3,Prepagos!E206,))))))</f>
        <v>0</v>
      </c>
      <c r="H247" s="135">
        <f t="shared" si="32"/>
        <v>0</v>
      </c>
      <c r="I247" s="135">
        <f t="shared" si="33"/>
        <v>0</v>
      </c>
      <c r="J247" s="135">
        <f>IF(B247="","",IF(F247=0,0,F247*Catálogos!$R$1))</f>
        <v>0</v>
      </c>
      <c r="K247" s="135">
        <f>IF(B247="","",IF(Catálogos!$K$10=1,Carátula!$F$17*Catálogos!$R$4,0))</f>
        <v>0</v>
      </c>
      <c r="L247" s="135">
        <f>IF(B247="","",IF(F247=0,0,CAT!H210))</f>
        <v>0</v>
      </c>
      <c r="M247" s="124"/>
      <c r="N247" s="135">
        <f t="shared" si="26"/>
        <v>0</v>
      </c>
      <c r="O247" s="135">
        <f t="shared" si="34"/>
        <v>0</v>
      </c>
      <c r="P247" s="135">
        <f t="shared" si="28"/>
        <v>0</v>
      </c>
      <c r="Q247" s="136" t="str">
        <f t="shared" si="29"/>
        <v/>
      </c>
    </row>
    <row r="248" spans="2:17" x14ac:dyDescent="0.25">
      <c r="B248" s="131">
        <f t="shared" si="30"/>
        <v>205</v>
      </c>
      <c r="C248" s="132">
        <f ca="1">IF(B248="","",'Fecha Pago'!K208)</f>
        <v>51928</v>
      </c>
      <c r="D248" s="133">
        <f>IF(B248="","",'Fecha Pago'!L208)</f>
        <v>30.4</v>
      </c>
      <c r="E248" s="134">
        <f t="shared" si="27"/>
        <v>9.3799999999999994E-2</v>
      </c>
      <c r="F248" s="135">
        <f t="shared" si="31"/>
        <v>0</v>
      </c>
      <c r="G248" s="135">
        <f>IF(B248="","",IF(F248=0,0,MIN(F248,IF(Catálogos!$N$6=1,Prepagos!C207,IF(Catálogos!$N$6=2,Prepagos!D207,IF(Catálogos!$N$6=3,Prepagos!E207,))))))</f>
        <v>0</v>
      </c>
      <c r="H248" s="135">
        <f t="shared" si="32"/>
        <v>0</v>
      </c>
      <c r="I248" s="135">
        <f t="shared" si="33"/>
        <v>0</v>
      </c>
      <c r="J248" s="135">
        <f>IF(B248="","",IF(F248=0,0,F248*Catálogos!$R$1))</f>
        <v>0</v>
      </c>
      <c r="K248" s="135">
        <f>IF(B248="","",IF(Catálogos!$K$10=1,Carátula!$F$17*Catálogos!$R$4,0))</f>
        <v>0</v>
      </c>
      <c r="L248" s="135">
        <f>IF(B248="","",IF(F248=0,0,CAT!H211))</f>
        <v>0</v>
      </c>
      <c r="M248" s="124"/>
      <c r="N248" s="135">
        <f t="shared" si="26"/>
        <v>0</v>
      </c>
      <c r="O248" s="135">
        <f t="shared" si="34"/>
        <v>0</v>
      </c>
      <c r="P248" s="135">
        <f t="shared" si="28"/>
        <v>0</v>
      </c>
      <c r="Q248" s="136" t="str">
        <f t="shared" si="29"/>
        <v/>
      </c>
    </row>
    <row r="249" spans="2:17" x14ac:dyDescent="0.25">
      <c r="B249" s="131">
        <f t="shared" si="30"/>
        <v>206</v>
      </c>
      <c r="C249" s="132">
        <f ca="1">IF(B249="","",'Fecha Pago'!K209)</f>
        <v>51959</v>
      </c>
      <c r="D249" s="133">
        <f>IF(B249="","",'Fecha Pago'!L209)</f>
        <v>30.4</v>
      </c>
      <c r="E249" s="134">
        <f t="shared" si="27"/>
        <v>9.3799999999999994E-2</v>
      </c>
      <c r="F249" s="135">
        <f t="shared" si="31"/>
        <v>0</v>
      </c>
      <c r="G249" s="135">
        <f>IF(B249="","",IF(F249=0,0,MIN(F249,IF(Catálogos!$N$6=1,Prepagos!C208,IF(Catálogos!$N$6=2,Prepagos!D208,IF(Catálogos!$N$6=3,Prepagos!E208,))))))</f>
        <v>0</v>
      </c>
      <c r="H249" s="135">
        <f t="shared" si="32"/>
        <v>0</v>
      </c>
      <c r="I249" s="135">
        <f t="shared" si="33"/>
        <v>0</v>
      </c>
      <c r="J249" s="135">
        <f>IF(B249="","",IF(F249=0,0,F249*Catálogos!$R$1))</f>
        <v>0</v>
      </c>
      <c r="K249" s="135">
        <f>IF(B249="","",IF(Catálogos!$K$10=1,Carátula!$F$17*Catálogos!$R$4,0))</f>
        <v>0</v>
      </c>
      <c r="L249" s="135">
        <f>IF(B249="","",IF(F249=0,0,CAT!H212))</f>
        <v>0</v>
      </c>
      <c r="M249" s="124"/>
      <c r="N249" s="135">
        <f t="shared" si="26"/>
        <v>0</v>
      </c>
      <c r="O249" s="135">
        <f t="shared" si="34"/>
        <v>0</v>
      </c>
      <c r="P249" s="135">
        <f t="shared" si="28"/>
        <v>0</v>
      </c>
      <c r="Q249" s="136" t="str">
        <f t="shared" si="29"/>
        <v/>
      </c>
    </row>
    <row r="250" spans="2:17" x14ac:dyDescent="0.25">
      <c r="B250" s="131">
        <f t="shared" si="30"/>
        <v>207</v>
      </c>
      <c r="C250" s="132">
        <f ca="1">IF(B250="","",'Fecha Pago'!K210)</f>
        <v>51989</v>
      </c>
      <c r="D250" s="133">
        <f>IF(B250="","",'Fecha Pago'!L210)</f>
        <v>30.4</v>
      </c>
      <c r="E250" s="134">
        <f t="shared" si="27"/>
        <v>9.3799999999999994E-2</v>
      </c>
      <c r="F250" s="135">
        <f t="shared" si="31"/>
        <v>0</v>
      </c>
      <c r="G250" s="135">
        <f>IF(B250="","",IF(F250=0,0,MIN(F250,IF(Catálogos!$N$6=1,Prepagos!C209,IF(Catálogos!$N$6=2,Prepagos!D209,IF(Catálogos!$N$6=3,Prepagos!E209,))))))</f>
        <v>0</v>
      </c>
      <c r="H250" s="135">
        <f t="shared" si="32"/>
        <v>0</v>
      </c>
      <c r="I250" s="135">
        <f t="shared" si="33"/>
        <v>0</v>
      </c>
      <c r="J250" s="135">
        <f>IF(B250="","",IF(F250=0,0,F250*Catálogos!$R$1))</f>
        <v>0</v>
      </c>
      <c r="K250" s="135">
        <f>IF(B250="","",IF(Catálogos!$K$10=1,Carátula!$F$17*Catálogos!$R$4,0))</f>
        <v>0</v>
      </c>
      <c r="L250" s="135">
        <f>IF(B250="","",IF(F250=0,0,CAT!H213))</f>
        <v>0</v>
      </c>
      <c r="M250" s="124"/>
      <c r="N250" s="135">
        <f t="shared" si="26"/>
        <v>0</v>
      </c>
      <c r="O250" s="135">
        <f t="shared" si="34"/>
        <v>0</v>
      </c>
      <c r="P250" s="135">
        <f t="shared" si="28"/>
        <v>0</v>
      </c>
      <c r="Q250" s="136" t="str">
        <f t="shared" si="29"/>
        <v/>
      </c>
    </row>
    <row r="251" spans="2:17" x14ac:dyDescent="0.25">
      <c r="B251" s="131">
        <f t="shared" si="30"/>
        <v>208</v>
      </c>
      <c r="C251" s="132">
        <f ca="1">IF(B251="","",'Fecha Pago'!K211)</f>
        <v>52020</v>
      </c>
      <c r="D251" s="133">
        <f>IF(B251="","",'Fecha Pago'!L211)</f>
        <v>30.4</v>
      </c>
      <c r="E251" s="134">
        <f t="shared" si="27"/>
        <v>9.3799999999999994E-2</v>
      </c>
      <c r="F251" s="135">
        <f t="shared" si="31"/>
        <v>0</v>
      </c>
      <c r="G251" s="135">
        <f>IF(B251="","",IF(F251=0,0,MIN(F251,IF(Catálogos!$N$6=1,Prepagos!C210,IF(Catálogos!$N$6=2,Prepagos!D210,IF(Catálogos!$N$6=3,Prepagos!E210,))))))</f>
        <v>0</v>
      </c>
      <c r="H251" s="135">
        <f t="shared" si="32"/>
        <v>0</v>
      </c>
      <c r="I251" s="135">
        <f t="shared" si="33"/>
        <v>0</v>
      </c>
      <c r="J251" s="135">
        <f>IF(B251="","",IF(F251=0,0,F251*Catálogos!$R$1))</f>
        <v>0</v>
      </c>
      <c r="K251" s="135">
        <f>IF(B251="","",IF(Catálogos!$K$10=1,Carátula!$F$17*Catálogos!$R$4,0))</f>
        <v>0</v>
      </c>
      <c r="L251" s="135">
        <f>IF(B251="","",IF(F251=0,0,CAT!H214))</f>
        <v>0</v>
      </c>
      <c r="M251" s="124"/>
      <c r="N251" s="135">
        <f t="shared" si="26"/>
        <v>0</v>
      </c>
      <c r="O251" s="135">
        <f t="shared" si="34"/>
        <v>0</v>
      </c>
      <c r="P251" s="135">
        <f t="shared" si="28"/>
        <v>0</v>
      </c>
      <c r="Q251" s="136" t="str">
        <f t="shared" si="29"/>
        <v/>
      </c>
    </row>
    <row r="252" spans="2:17" x14ac:dyDescent="0.25">
      <c r="B252" s="131">
        <f t="shared" si="30"/>
        <v>209</v>
      </c>
      <c r="C252" s="132">
        <f ca="1">IF(B252="","",'Fecha Pago'!K212)</f>
        <v>52050</v>
      </c>
      <c r="D252" s="133">
        <f>IF(B252="","",'Fecha Pago'!L212)</f>
        <v>30.4</v>
      </c>
      <c r="E252" s="134">
        <f t="shared" si="27"/>
        <v>9.3799999999999994E-2</v>
      </c>
      <c r="F252" s="135">
        <f t="shared" si="31"/>
        <v>0</v>
      </c>
      <c r="G252" s="135">
        <f>IF(B252="","",IF(F252=0,0,MIN(F252,IF(Catálogos!$N$6=1,Prepagos!C211,IF(Catálogos!$N$6=2,Prepagos!D211,IF(Catálogos!$N$6=3,Prepagos!E211,))))))</f>
        <v>0</v>
      </c>
      <c r="H252" s="135">
        <f t="shared" si="32"/>
        <v>0</v>
      </c>
      <c r="I252" s="135">
        <f t="shared" si="33"/>
        <v>0</v>
      </c>
      <c r="J252" s="135">
        <f>IF(B252="","",IF(F252=0,0,F252*Catálogos!$R$1))</f>
        <v>0</v>
      </c>
      <c r="K252" s="135">
        <f>IF(B252="","",IF(Catálogos!$K$10=1,Carátula!$F$17*Catálogos!$R$4,0))</f>
        <v>0</v>
      </c>
      <c r="L252" s="135">
        <f>IF(B252="","",IF(F252=0,0,CAT!H215))</f>
        <v>0</v>
      </c>
      <c r="M252" s="124"/>
      <c r="N252" s="135">
        <f t="shared" si="26"/>
        <v>0</v>
      </c>
      <c r="O252" s="135">
        <f t="shared" si="34"/>
        <v>0</v>
      </c>
      <c r="P252" s="135">
        <f t="shared" si="28"/>
        <v>0</v>
      </c>
      <c r="Q252" s="136" t="str">
        <f t="shared" si="29"/>
        <v/>
      </c>
    </row>
    <row r="253" spans="2:17" x14ac:dyDescent="0.25">
      <c r="B253" s="131">
        <f t="shared" si="30"/>
        <v>210</v>
      </c>
      <c r="C253" s="132">
        <f ca="1">IF(B253="","",'Fecha Pago'!K213)</f>
        <v>52081</v>
      </c>
      <c r="D253" s="133">
        <f>IF(B253="","",'Fecha Pago'!L213)</f>
        <v>30.4</v>
      </c>
      <c r="E253" s="134">
        <f t="shared" si="27"/>
        <v>9.3799999999999994E-2</v>
      </c>
      <c r="F253" s="135">
        <f t="shared" si="31"/>
        <v>0</v>
      </c>
      <c r="G253" s="135">
        <f>IF(B253="","",IF(F253=0,0,MIN(F253,IF(Catálogos!$N$6=1,Prepagos!C212,IF(Catálogos!$N$6=2,Prepagos!D212,IF(Catálogos!$N$6=3,Prepagos!E212,))))))</f>
        <v>0</v>
      </c>
      <c r="H253" s="135">
        <f t="shared" si="32"/>
        <v>0</v>
      </c>
      <c r="I253" s="135">
        <f t="shared" si="33"/>
        <v>0</v>
      </c>
      <c r="J253" s="135">
        <f>IF(B253="","",IF(F253=0,0,F253*Catálogos!$R$1))</f>
        <v>0</v>
      </c>
      <c r="K253" s="135">
        <f>IF(B253="","",IF(Catálogos!$K$10=1,Carátula!$F$17*Catálogos!$R$4,0))</f>
        <v>0</v>
      </c>
      <c r="L253" s="135">
        <f>IF(B253="","",IF(F253=0,0,CAT!H216))</f>
        <v>0</v>
      </c>
      <c r="M253" s="124"/>
      <c r="N253" s="135">
        <f t="shared" si="26"/>
        <v>0</v>
      </c>
      <c r="O253" s="135">
        <f t="shared" si="34"/>
        <v>0</v>
      </c>
      <c r="P253" s="135">
        <f t="shared" si="28"/>
        <v>0</v>
      </c>
      <c r="Q253" s="136" t="str">
        <f t="shared" si="29"/>
        <v/>
      </c>
    </row>
    <row r="254" spans="2:17" x14ac:dyDescent="0.25">
      <c r="B254" s="131">
        <f t="shared" si="30"/>
        <v>211</v>
      </c>
      <c r="C254" s="132">
        <f ca="1">IF(B254="","",'Fecha Pago'!K214)</f>
        <v>52112</v>
      </c>
      <c r="D254" s="133">
        <f>IF(B254="","",'Fecha Pago'!L214)</f>
        <v>30.4</v>
      </c>
      <c r="E254" s="134">
        <f t="shared" si="27"/>
        <v>9.3799999999999994E-2</v>
      </c>
      <c r="F254" s="135">
        <f t="shared" si="31"/>
        <v>0</v>
      </c>
      <c r="G254" s="135">
        <f>IF(B254="","",IF(F254=0,0,MIN(F254,IF(Catálogos!$N$6=1,Prepagos!C213,IF(Catálogos!$N$6=2,Prepagos!D213,IF(Catálogos!$N$6=3,Prepagos!E213,))))))</f>
        <v>0</v>
      </c>
      <c r="H254" s="135">
        <f t="shared" si="32"/>
        <v>0</v>
      </c>
      <c r="I254" s="135">
        <f t="shared" si="33"/>
        <v>0</v>
      </c>
      <c r="J254" s="135">
        <f>IF(B254="","",IF(F254=0,0,F254*Catálogos!$R$1))</f>
        <v>0</v>
      </c>
      <c r="K254" s="135">
        <f>IF(B254="","",IF(Catálogos!$K$10=1,Carátula!$F$17*Catálogos!$R$4,0))</f>
        <v>0</v>
      </c>
      <c r="L254" s="135">
        <f>IF(B254="","",IF(F254=0,0,CAT!H217))</f>
        <v>0</v>
      </c>
      <c r="M254" s="124"/>
      <c r="N254" s="135">
        <f t="shared" si="26"/>
        <v>0</v>
      </c>
      <c r="O254" s="135">
        <f t="shared" si="34"/>
        <v>0</v>
      </c>
      <c r="P254" s="135">
        <f t="shared" si="28"/>
        <v>0</v>
      </c>
      <c r="Q254" s="136" t="str">
        <f t="shared" si="29"/>
        <v/>
      </c>
    </row>
    <row r="255" spans="2:17" x14ac:dyDescent="0.25">
      <c r="B255" s="131">
        <f t="shared" si="30"/>
        <v>212</v>
      </c>
      <c r="C255" s="132">
        <f ca="1">IF(B255="","",'Fecha Pago'!K215)</f>
        <v>52142</v>
      </c>
      <c r="D255" s="133">
        <f>IF(B255="","",'Fecha Pago'!L215)</f>
        <v>30.4</v>
      </c>
      <c r="E255" s="134">
        <f t="shared" si="27"/>
        <v>9.3799999999999994E-2</v>
      </c>
      <c r="F255" s="135">
        <f t="shared" si="31"/>
        <v>0</v>
      </c>
      <c r="G255" s="135">
        <f>IF(B255="","",IF(F255=0,0,MIN(F255,IF(Catálogos!$N$6=1,Prepagos!C214,IF(Catálogos!$N$6=2,Prepagos!D214,IF(Catálogos!$N$6=3,Prepagos!E214,))))))</f>
        <v>0</v>
      </c>
      <c r="H255" s="135">
        <f t="shared" si="32"/>
        <v>0</v>
      </c>
      <c r="I255" s="135">
        <f t="shared" si="33"/>
        <v>0</v>
      </c>
      <c r="J255" s="135">
        <f>IF(B255="","",IF(F255=0,0,F255*Catálogos!$R$1))</f>
        <v>0</v>
      </c>
      <c r="K255" s="135">
        <f>IF(B255="","",IF(Catálogos!$K$10=1,Carátula!$F$17*Catálogos!$R$4,0))</f>
        <v>0</v>
      </c>
      <c r="L255" s="135">
        <f>IF(B255="","",IF(F255=0,0,CAT!H218))</f>
        <v>0</v>
      </c>
      <c r="M255" s="124"/>
      <c r="N255" s="135">
        <f t="shared" si="26"/>
        <v>0</v>
      </c>
      <c r="O255" s="135">
        <f t="shared" si="34"/>
        <v>0</v>
      </c>
      <c r="P255" s="135">
        <f t="shared" si="28"/>
        <v>0</v>
      </c>
      <c r="Q255" s="136" t="str">
        <f t="shared" si="29"/>
        <v/>
      </c>
    </row>
    <row r="256" spans="2:17" x14ac:dyDescent="0.25">
      <c r="B256" s="131">
        <f t="shared" si="30"/>
        <v>213</v>
      </c>
      <c r="C256" s="132">
        <f ca="1">IF(B256="","",'Fecha Pago'!K216)</f>
        <v>52173</v>
      </c>
      <c r="D256" s="133">
        <f>IF(B256="","",'Fecha Pago'!L216)</f>
        <v>30.4</v>
      </c>
      <c r="E256" s="134">
        <f t="shared" si="27"/>
        <v>9.3799999999999994E-2</v>
      </c>
      <c r="F256" s="135">
        <f t="shared" si="31"/>
        <v>0</v>
      </c>
      <c r="G256" s="135">
        <f>IF(B256="","",IF(F256=0,0,MIN(F256,IF(Catálogos!$N$6=1,Prepagos!C215,IF(Catálogos!$N$6=2,Prepagos!D215,IF(Catálogos!$N$6=3,Prepagos!E215,))))))</f>
        <v>0</v>
      </c>
      <c r="H256" s="135">
        <f t="shared" si="32"/>
        <v>0</v>
      </c>
      <c r="I256" s="135">
        <f t="shared" si="33"/>
        <v>0</v>
      </c>
      <c r="J256" s="135">
        <f>IF(B256="","",IF(F256=0,0,F256*Catálogos!$R$1))</f>
        <v>0</v>
      </c>
      <c r="K256" s="135">
        <f>IF(B256="","",IF(Catálogos!$K$10=1,Carátula!$F$17*Catálogos!$R$4,0))</f>
        <v>0</v>
      </c>
      <c r="L256" s="135">
        <f>IF(B256="","",IF(F256=0,0,CAT!H219))</f>
        <v>0</v>
      </c>
      <c r="M256" s="124"/>
      <c r="N256" s="135">
        <f t="shared" si="26"/>
        <v>0</v>
      </c>
      <c r="O256" s="135">
        <f t="shared" si="34"/>
        <v>0</v>
      </c>
      <c r="P256" s="135">
        <f t="shared" si="28"/>
        <v>0</v>
      </c>
      <c r="Q256" s="136" t="str">
        <f t="shared" si="29"/>
        <v/>
      </c>
    </row>
    <row r="257" spans="2:17" x14ac:dyDescent="0.25">
      <c r="B257" s="131">
        <f t="shared" si="30"/>
        <v>214</v>
      </c>
      <c r="C257" s="132">
        <f ca="1">IF(B257="","",'Fecha Pago'!K217)</f>
        <v>52203</v>
      </c>
      <c r="D257" s="133">
        <f>IF(B257="","",'Fecha Pago'!L217)</f>
        <v>30.4</v>
      </c>
      <c r="E257" s="134">
        <f t="shared" si="27"/>
        <v>9.3799999999999994E-2</v>
      </c>
      <c r="F257" s="135">
        <f t="shared" si="31"/>
        <v>0</v>
      </c>
      <c r="G257" s="135">
        <f>IF(B257="","",IF(F257=0,0,MIN(F257,IF(Catálogos!$N$6=1,Prepagos!C216,IF(Catálogos!$N$6=2,Prepagos!D216,IF(Catálogos!$N$6=3,Prepagos!E216,))))))</f>
        <v>0</v>
      </c>
      <c r="H257" s="135">
        <f t="shared" si="32"/>
        <v>0</v>
      </c>
      <c r="I257" s="135">
        <f t="shared" si="33"/>
        <v>0</v>
      </c>
      <c r="J257" s="135">
        <f>IF(B257="","",IF(F257=0,0,F257*Catálogos!$R$1))</f>
        <v>0</v>
      </c>
      <c r="K257" s="135">
        <f>IF(B257="","",IF(Catálogos!$K$10=1,Carátula!$F$17*Catálogos!$R$4,0))</f>
        <v>0</v>
      </c>
      <c r="L257" s="135">
        <f>IF(B257="","",IF(F257=0,0,CAT!H220))</f>
        <v>0</v>
      </c>
      <c r="M257" s="124"/>
      <c r="N257" s="135">
        <f t="shared" si="26"/>
        <v>0</v>
      </c>
      <c r="O257" s="135">
        <f t="shared" si="34"/>
        <v>0</v>
      </c>
      <c r="P257" s="135">
        <f t="shared" si="28"/>
        <v>0</v>
      </c>
      <c r="Q257" s="136" t="str">
        <f t="shared" si="29"/>
        <v/>
      </c>
    </row>
    <row r="258" spans="2:17" x14ac:dyDescent="0.25">
      <c r="B258" s="131">
        <f t="shared" si="30"/>
        <v>215</v>
      </c>
      <c r="C258" s="132">
        <f ca="1">IF(B258="","",'Fecha Pago'!K218)</f>
        <v>52234</v>
      </c>
      <c r="D258" s="133">
        <f>IF(B258="","",'Fecha Pago'!L218)</f>
        <v>30.4</v>
      </c>
      <c r="E258" s="134">
        <f t="shared" si="27"/>
        <v>9.3799999999999994E-2</v>
      </c>
      <c r="F258" s="135">
        <f t="shared" si="31"/>
        <v>0</v>
      </c>
      <c r="G258" s="135">
        <f>IF(B258="","",IF(F258=0,0,MIN(F258,IF(Catálogos!$N$6=1,Prepagos!C217,IF(Catálogos!$N$6=2,Prepagos!D217,IF(Catálogos!$N$6=3,Prepagos!E217,))))))</f>
        <v>0</v>
      </c>
      <c r="H258" s="135">
        <f t="shared" si="32"/>
        <v>0</v>
      </c>
      <c r="I258" s="135">
        <f t="shared" si="33"/>
        <v>0</v>
      </c>
      <c r="J258" s="135">
        <f>IF(B258="","",IF(F258=0,0,F258*Catálogos!$R$1))</f>
        <v>0</v>
      </c>
      <c r="K258" s="135">
        <f>IF(B258="","",IF(Catálogos!$K$10=1,Carátula!$F$17*Catálogos!$R$4,0))</f>
        <v>0</v>
      </c>
      <c r="L258" s="135">
        <f>IF(B258="","",IF(F258=0,0,CAT!H221))</f>
        <v>0</v>
      </c>
      <c r="M258" s="124"/>
      <c r="N258" s="135">
        <f t="shared" si="26"/>
        <v>0</v>
      </c>
      <c r="O258" s="135">
        <f t="shared" si="34"/>
        <v>0</v>
      </c>
      <c r="P258" s="135">
        <f t="shared" si="28"/>
        <v>0</v>
      </c>
      <c r="Q258" s="136" t="str">
        <f t="shared" si="29"/>
        <v/>
      </c>
    </row>
    <row r="259" spans="2:17" x14ac:dyDescent="0.25">
      <c r="B259" s="131">
        <f t="shared" si="30"/>
        <v>216</v>
      </c>
      <c r="C259" s="132">
        <f ca="1">IF(B259="","",'Fecha Pago'!K219)</f>
        <v>52265</v>
      </c>
      <c r="D259" s="133">
        <f>IF(B259="","",'Fecha Pago'!L219)</f>
        <v>30.4</v>
      </c>
      <c r="E259" s="134">
        <f t="shared" si="27"/>
        <v>9.3799999999999994E-2</v>
      </c>
      <c r="F259" s="135">
        <f t="shared" si="31"/>
        <v>0</v>
      </c>
      <c r="G259" s="135">
        <f>IF(B259="","",IF(F259=0,0,MIN(F259,IF(Catálogos!$N$6=1,Prepagos!C218,IF(Catálogos!$N$6=2,Prepagos!D218,IF(Catálogos!$N$6=3,Prepagos!E218,))))))</f>
        <v>0</v>
      </c>
      <c r="H259" s="135">
        <f t="shared" si="32"/>
        <v>0</v>
      </c>
      <c r="I259" s="135">
        <f t="shared" si="33"/>
        <v>0</v>
      </c>
      <c r="J259" s="135">
        <f>IF(B259="","",IF(F259=0,0,F259*Catálogos!$R$1))</f>
        <v>0</v>
      </c>
      <c r="K259" s="135">
        <f>IF(B259="","",IF(Catálogos!$K$10=1,Carátula!$F$17*Catálogos!$R$4,0))</f>
        <v>0</v>
      </c>
      <c r="L259" s="135">
        <f>IF(B259="","",IF(F259=0,0,CAT!H222))</f>
        <v>0</v>
      </c>
      <c r="M259" s="124"/>
      <c r="N259" s="135">
        <f t="shared" si="26"/>
        <v>0</v>
      </c>
      <c r="O259" s="135">
        <f t="shared" si="34"/>
        <v>0</v>
      </c>
      <c r="P259" s="135">
        <f t="shared" si="28"/>
        <v>0</v>
      </c>
      <c r="Q259" s="136" t="str">
        <f t="shared" si="29"/>
        <v/>
      </c>
    </row>
    <row r="260" spans="2:17" x14ac:dyDescent="0.25">
      <c r="B260" s="131">
        <f t="shared" si="30"/>
        <v>217</v>
      </c>
      <c r="C260" s="132">
        <f ca="1">IF(B260="","",'Fecha Pago'!K220)</f>
        <v>52293</v>
      </c>
      <c r="D260" s="133">
        <f>IF(B260="","",'Fecha Pago'!L220)</f>
        <v>30.4</v>
      </c>
      <c r="E260" s="134">
        <f t="shared" si="27"/>
        <v>9.3799999999999994E-2</v>
      </c>
      <c r="F260" s="135">
        <f t="shared" si="31"/>
        <v>0</v>
      </c>
      <c r="G260" s="135">
        <f>IF(B260="","",IF(F260=0,0,MIN(F260,IF(Catálogos!$N$6=1,Prepagos!C219,IF(Catálogos!$N$6=2,Prepagos!D219,IF(Catálogos!$N$6=3,Prepagos!E219,))))))</f>
        <v>0</v>
      </c>
      <c r="H260" s="135">
        <f t="shared" si="32"/>
        <v>0</v>
      </c>
      <c r="I260" s="135">
        <f t="shared" si="33"/>
        <v>0</v>
      </c>
      <c r="J260" s="135">
        <f>IF(B260="","",IF(F260=0,0,F260*Catálogos!$R$1))</f>
        <v>0</v>
      </c>
      <c r="K260" s="135">
        <f>IF(B260="","",IF(Catálogos!$K$10=1,Carátula!$F$17*Catálogos!$R$4,0))</f>
        <v>0</v>
      </c>
      <c r="L260" s="135">
        <f>IF(B260="","",IF(F260=0,0,CAT!H223))</f>
        <v>0</v>
      </c>
      <c r="M260" s="124"/>
      <c r="N260" s="135">
        <f t="shared" si="26"/>
        <v>0</v>
      </c>
      <c r="O260" s="135">
        <f t="shared" si="34"/>
        <v>0</v>
      </c>
      <c r="P260" s="135">
        <f t="shared" si="28"/>
        <v>0</v>
      </c>
      <c r="Q260" s="136" t="str">
        <f t="shared" si="29"/>
        <v/>
      </c>
    </row>
    <row r="261" spans="2:17" x14ac:dyDescent="0.25">
      <c r="B261" s="131">
        <f t="shared" si="30"/>
        <v>218</v>
      </c>
      <c r="C261" s="132">
        <f ca="1">IF(B261="","",'Fecha Pago'!K221)</f>
        <v>52324</v>
      </c>
      <c r="D261" s="133">
        <f>IF(B261="","",'Fecha Pago'!L221)</f>
        <v>30.4</v>
      </c>
      <c r="E261" s="134">
        <f t="shared" si="27"/>
        <v>9.3799999999999994E-2</v>
      </c>
      <c r="F261" s="135">
        <f t="shared" si="31"/>
        <v>0</v>
      </c>
      <c r="G261" s="135">
        <f>IF(B261="","",IF(F261=0,0,MIN(F261,IF(Catálogos!$N$6=1,Prepagos!C220,IF(Catálogos!$N$6=2,Prepagos!D220,IF(Catálogos!$N$6=3,Prepagos!E220,))))))</f>
        <v>0</v>
      </c>
      <c r="H261" s="135">
        <f t="shared" si="32"/>
        <v>0</v>
      </c>
      <c r="I261" s="135">
        <f t="shared" si="33"/>
        <v>0</v>
      </c>
      <c r="J261" s="135">
        <f>IF(B261="","",IF(F261=0,0,F261*Catálogos!$R$1))</f>
        <v>0</v>
      </c>
      <c r="K261" s="135">
        <f>IF(B261="","",IF(Catálogos!$K$10=1,Carátula!$F$17*Catálogos!$R$4,0))</f>
        <v>0</v>
      </c>
      <c r="L261" s="135">
        <f>IF(B261="","",IF(F261=0,0,CAT!H224))</f>
        <v>0</v>
      </c>
      <c r="M261" s="124"/>
      <c r="N261" s="135">
        <f t="shared" si="26"/>
        <v>0</v>
      </c>
      <c r="O261" s="135">
        <f t="shared" si="34"/>
        <v>0</v>
      </c>
      <c r="P261" s="135">
        <f t="shared" si="28"/>
        <v>0</v>
      </c>
      <c r="Q261" s="136" t="str">
        <f t="shared" si="29"/>
        <v/>
      </c>
    </row>
    <row r="262" spans="2:17" x14ac:dyDescent="0.25">
      <c r="B262" s="131">
        <f t="shared" si="30"/>
        <v>219</v>
      </c>
      <c r="C262" s="132">
        <f ca="1">IF(B262="","",'Fecha Pago'!K222)</f>
        <v>52354</v>
      </c>
      <c r="D262" s="133">
        <f>IF(B262="","",'Fecha Pago'!L222)</f>
        <v>30.4</v>
      </c>
      <c r="E262" s="134">
        <f t="shared" si="27"/>
        <v>9.3799999999999994E-2</v>
      </c>
      <c r="F262" s="135">
        <f t="shared" si="31"/>
        <v>0</v>
      </c>
      <c r="G262" s="135">
        <f>IF(B262="","",IF(F262=0,0,MIN(F262,IF(Catálogos!$N$6=1,Prepagos!C221,IF(Catálogos!$N$6=2,Prepagos!D221,IF(Catálogos!$N$6=3,Prepagos!E221,))))))</f>
        <v>0</v>
      </c>
      <c r="H262" s="135">
        <f t="shared" si="32"/>
        <v>0</v>
      </c>
      <c r="I262" s="135">
        <f t="shared" si="33"/>
        <v>0</v>
      </c>
      <c r="J262" s="135">
        <f>IF(B262="","",IF(F262=0,0,F262*Catálogos!$R$1))</f>
        <v>0</v>
      </c>
      <c r="K262" s="135">
        <f>IF(B262="","",IF(Catálogos!$K$10=1,Carátula!$F$17*Catálogos!$R$4,0))</f>
        <v>0</v>
      </c>
      <c r="L262" s="135">
        <f>IF(B262="","",IF(F262=0,0,CAT!H225))</f>
        <v>0</v>
      </c>
      <c r="M262" s="124"/>
      <c r="N262" s="135">
        <f t="shared" si="26"/>
        <v>0</v>
      </c>
      <c r="O262" s="135">
        <f t="shared" si="34"/>
        <v>0</v>
      </c>
      <c r="P262" s="135">
        <f t="shared" si="28"/>
        <v>0</v>
      </c>
      <c r="Q262" s="136" t="str">
        <f t="shared" si="29"/>
        <v/>
      </c>
    </row>
    <row r="263" spans="2:17" x14ac:dyDescent="0.25">
      <c r="B263" s="131">
        <f t="shared" si="30"/>
        <v>220</v>
      </c>
      <c r="C263" s="132">
        <f ca="1">IF(B263="","",'Fecha Pago'!K223)</f>
        <v>52385</v>
      </c>
      <c r="D263" s="133">
        <f>IF(B263="","",'Fecha Pago'!L223)</f>
        <v>30.4</v>
      </c>
      <c r="E263" s="134">
        <f t="shared" si="27"/>
        <v>9.3799999999999994E-2</v>
      </c>
      <c r="F263" s="135">
        <f t="shared" si="31"/>
        <v>0</v>
      </c>
      <c r="G263" s="135">
        <f>IF(B263="","",IF(F263=0,0,MIN(F263,IF(Catálogos!$N$6=1,Prepagos!C222,IF(Catálogos!$N$6=2,Prepagos!D222,IF(Catálogos!$N$6=3,Prepagos!E222,))))))</f>
        <v>0</v>
      </c>
      <c r="H263" s="135">
        <f t="shared" si="32"/>
        <v>0</v>
      </c>
      <c r="I263" s="135">
        <f t="shared" si="33"/>
        <v>0</v>
      </c>
      <c r="J263" s="135">
        <f>IF(B263="","",IF(F263=0,0,F263*Catálogos!$R$1))</f>
        <v>0</v>
      </c>
      <c r="K263" s="135">
        <f>IF(B263="","",IF(Catálogos!$K$10=1,Carátula!$F$17*Catálogos!$R$4,0))</f>
        <v>0</v>
      </c>
      <c r="L263" s="135">
        <f>IF(B263="","",IF(F263=0,0,CAT!H226))</f>
        <v>0</v>
      </c>
      <c r="M263" s="124"/>
      <c r="N263" s="135">
        <f t="shared" si="26"/>
        <v>0</v>
      </c>
      <c r="O263" s="135">
        <f t="shared" si="34"/>
        <v>0</v>
      </c>
      <c r="P263" s="135">
        <f t="shared" si="28"/>
        <v>0</v>
      </c>
      <c r="Q263" s="136" t="str">
        <f t="shared" si="29"/>
        <v/>
      </c>
    </row>
    <row r="264" spans="2:17" x14ac:dyDescent="0.25">
      <c r="B264" s="131">
        <f t="shared" si="30"/>
        <v>221</v>
      </c>
      <c r="C264" s="132">
        <f ca="1">IF(B264="","",'Fecha Pago'!K224)</f>
        <v>52415</v>
      </c>
      <c r="D264" s="133">
        <f>IF(B264="","",'Fecha Pago'!L224)</f>
        <v>30.4</v>
      </c>
      <c r="E264" s="134">
        <f t="shared" si="27"/>
        <v>9.3799999999999994E-2</v>
      </c>
      <c r="F264" s="135">
        <f t="shared" si="31"/>
        <v>0</v>
      </c>
      <c r="G264" s="135">
        <f>IF(B264="","",IF(F264=0,0,MIN(F264,IF(Catálogos!$N$6=1,Prepagos!C223,IF(Catálogos!$N$6=2,Prepagos!D223,IF(Catálogos!$N$6=3,Prepagos!E223,))))))</f>
        <v>0</v>
      </c>
      <c r="H264" s="135">
        <f t="shared" si="32"/>
        <v>0</v>
      </c>
      <c r="I264" s="135">
        <f t="shared" si="33"/>
        <v>0</v>
      </c>
      <c r="J264" s="135">
        <f>IF(B264="","",IF(F264=0,0,F264*Catálogos!$R$1))</f>
        <v>0</v>
      </c>
      <c r="K264" s="135">
        <f>IF(B264="","",IF(Catálogos!$K$10=1,Carátula!$F$17*Catálogos!$R$4,0))</f>
        <v>0</v>
      </c>
      <c r="L264" s="135">
        <f>IF(B264="","",IF(F264=0,0,CAT!H227))</f>
        <v>0</v>
      </c>
      <c r="M264" s="124"/>
      <c r="N264" s="135">
        <f t="shared" si="26"/>
        <v>0</v>
      </c>
      <c r="O264" s="135">
        <f t="shared" si="34"/>
        <v>0</v>
      </c>
      <c r="P264" s="135">
        <f t="shared" si="28"/>
        <v>0</v>
      </c>
      <c r="Q264" s="136" t="str">
        <f t="shared" si="29"/>
        <v/>
      </c>
    </row>
    <row r="265" spans="2:17" x14ac:dyDescent="0.25">
      <c r="B265" s="131">
        <f t="shared" si="30"/>
        <v>222</v>
      </c>
      <c r="C265" s="132">
        <f ca="1">IF(B265="","",'Fecha Pago'!K225)</f>
        <v>52446</v>
      </c>
      <c r="D265" s="133">
        <f>IF(B265="","",'Fecha Pago'!L225)</f>
        <v>30.4</v>
      </c>
      <c r="E265" s="134">
        <f t="shared" si="27"/>
        <v>9.3799999999999994E-2</v>
      </c>
      <c r="F265" s="135">
        <f t="shared" si="31"/>
        <v>0</v>
      </c>
      <c r="G265" s="135">
        <f>IF(B265="","",IF(F265=0,0,MIN(F265,IF(Catálogos!$N$6=1,Prepagos!C224,IF(Catálogos!$N$6=2,Prepagos!D224,IF(Catálogos!$N$6=3,Prepagos!E224,))))))</f>
        <v>0</v>
      </c>
      <c r="H265" s="135">
        <f t="shared" si="32"/>
        <v>0</v>
      </c>
      <c r="I265" s="135">
        <f t="shared" si="33"/>
        <v>0</v>
      </c>
      <c r="J265" s="135">
        <f>IF(B265="","",IF(F265=0,0,F265*Catálogos!$R$1))</f>
        <v>0</v>
      </c>
      <c r="K265" s="135">
        <f>IF(B265="","",IF(Catálogos!$K$10=1,Carátula!$F$17*Catálogos!$R$4,0))</f>
        <v>0</v>
      </c>
      <c r="L265" s="135">
        <f>IF(B265="","",IF(F265=0,0,CAT!H228))</f>
        <v>0</v>
      </c>
      <c r="M265" s="124"/>
      <c r="N265" s="135">
        <f t="shared" si="26"/>
        <v>0</v>
      </c>
      <c r="O265" s="135">
        <f t="shared" si="34"/>
        <v>0</v>
      </c>
      <c r="P265" s="135">
        <f t="shared" si="28"/>
        <v>0</v>
      </c>
      <c r="Q265" s="136" t="str">
        <f t="shared" si="29"/>
        <v/>
      </c>
    </row>
    <row r="266" spans="2:17" x14ac:dyDescent="0.25">
      <c r="B266" s="131">
        <f t="shared" si="30"/>
        <v>223</v>
      </c>
      <c r="C266" s="132">
        <f ca="1">IF(B266="","",'Fecha Pago'!K226)</f>
        <v>52477</v>
      </c>
      <c r="D266" s="133">
        <f>IF(B266="","",'Fecha Pago'!L226)</f>
        <v>30.4</v>
      </c>
      <c r="E266" s="134">
        <f t="shared" si="27"/>
        <v>9.3799999999999994E-2</v>
      </c>
      <c r="F266" s="135">
        <f t="shared" si="31"/>
        <v>0</v>
      </c>
      <c r="G266" s="135">
        <f>IF(B266="","",IF(F266=0,0,MIN(F266,IF(Catálogos!$N$6=1,Prepagos!C225,IF(Catálogos!$N$6=2,Prepagos!D225,IF(Catálogos!$N$6=3,Prepagos!E225,))))))</f>
        <v>0</v>
      </c>
      <c r="H266" s="135">
        <f t="shared" si="32"/>
        <v>0</v>
      </c>
      <c r="I266" s="135">
        <f t="shared" si="33"/>
        <v>0</v>
      </c>
      <c r="J266" s="135">
        <f>IF(B266="","",IF(F266=0,0,F266*Catálogos!$R$1))</f>
        <v>0</v>
      </c>
      <c r="K266" s="135">
        <f>IF(B266="","",IF(Catálogos!$K$10=1,Carátula!$F$17*Catálogos!$R$4,0))</f>
        <v>0</v>
      </c>
      <c r="L266" s="135">
        <f>IF(B266="","",IF(F266=0,0,CAT!H229))</f>
        <v>0</v>
      </c>
      <c r="M266" s="124"/>
      <c r="N266" s="135">
        <f t="shared" si="26"/>
        <v>0</v>
      </c>
      <c r="O266" s="135">
        <f t="shared" si="34"/>
        <v>0</v>
      </c>
      <c r="P266" s="135">
        <f t="shared" si="28"/>
        <v>0</v>
      </c>
      <c r="Q266" s="136" t="str">
        <f t="shared" si="29"/>
        <v/>
      </c>
    </row>
    <row r="267" spans="2:17" x14ac:dyDescent="0.25">
      <c r="B267" s="131">
        <f t="shared" si="30"/>
        <v>224</v>
      </c>
      <c r="C267" s="132">
        <f ca="1">IF(B267="","",'Fecha Pago'!K227)</f>
        <v>52507</v>
      </c>
      <c r="D267" s="133">
        <f>IF(B267="","",'Fecha Pago'!L227)</f>
        <v>30.4</v>
      </c>
      <c r="E267" s="134">
        <f t="shared" si="27"/>
        <v>9.3799999999999994E-2</v>
      </c>
      <c r="F267" s="135">
        <f t="shared" si="31"/>
        <v>0</v>
      </c>
      <c r="G267" s="135">
        <f>IF(B267="","",IF(F267=0,0,MIN(F267,IF(Catálogos!$N$6=1,Prepagos!C226,IF(Catálogos!$N$6=2,Prepagos!D226,IF(Catálogos!$N$6=3,Prepagos!E226,))))))</f>
        <v>0</v>
      </c>
      <c r="H267" s="135">
        <f t="shared" si="32"/>
        <v>0</v>
      </c>
      <c r="I267" s="135">
        <f t="shared" si="33"/>
        <v>0</v>
      </c>
      <c r="J267" s="135">
        <f>IF(B267="","",IF(F267=0,0,F267*Catálogos!$R$1))</f>
        <v>0</v>
      </c>
      <c r="K267" s="135">
        <f>IF(B267="","",IF(Catálogos!$K$10=1,Carátula!$F$17*Catálogos!$R$4,0))</f>
        <v>0</v>
      </c>
      <c r="L267" s="135">
        <f>IF(B267="","",IF(F267=0,0,CAT!H230))</f>
        <v>0</v>
      </c>
      <c r="M267" s="124"/>
      <c r="N267" s="135">
        <f t="shared" si="26"/>
        <v>0</v>
      </c>
      <c r="O267" s="135">
        <f t="shared" si="34"/>
        <v>0</v>
      </c>
      <c r="P267" s="135">
        <f t="shared" si="28"/>
        <v>0</v>
      </c>
      <c r="Q267" s="136" t="str">
        <f t="shared" si="29"/>
        <v/>
      </c>
    </row>
    <row r="268" spans="2:17" x14ac:dyDescent="0.25">
      <c r="B268" s="131">
        <f t="shared" si="30"/>
        <v>225</v>
      </c>
      <c r="C268" s="132">
        <f ca="1">IF(B268="","",'Fecha Pago'!K228)</f>
        <v>52538</v>
      </c>
      <c r="D268" s="133">
        <f>IF(B268="","",'Fecha Pago'!L228)</f>
        <v>30.4</v>
      </c>
      <c r="E268" s="134">
        <f t="shared" si="27"/>
        <v>9.3799999999999994E-2</v>
      </c>
      <c r="F268" s="135">
        <f t="shared" si="31"/>
        <v>0</v>
      </c>
      <c r="G268" s="135">
        <f>IF(B268="","",IF(F268=0,0,MIN(F268,IF(Catálogos!$N$6=1,Prepagos!C227,IF(Catálogos!$N$6=2,Prepagos!D227,IF(Catálogos!$N$6=3,Prepagos!E227,))))))</f>
        <v>0</v>
      </c>
      <c r="H268" s="135">
        <f t="shared" si="32"/>
        <v>0</v>
      </c>
      <c r="I268" s="135">
        <f t="shared" si="33"/>
        <v>0</v>
      </c>
      <c r="J268" s="135">
        <f>IF(B268="","",IF(F268=0,0,F268*Catálogos!$R$1))</f>
        <v>0</v>
      </c>
      <c r="K268" s="135">
        <f>IF(B268="","",IF(Catálogos!$K$10=1,Carátula!$F$17*Catálogos!$R$4,0))</f>
        <v>0</v>
      </c>
      <c r="L268" s="135">
        <f>IF(B268="","",IF(F268=0,0,CAT!H231))</f>
        <v>0</v>
      </c>
      <c r="M268" s="124"/>
      <c r="N268" s="135">
        <f t="shared" si="26"/>
        <v>0</v>
      </c>
      <c r="O268" s="135">
        <f t="shared" si="34"/>
        <v>0</v>
      </c>
      <c r="P268" s="135">
        <f t="shared" si="28"/>
        <v>0</v>
      </c>
      <c r="Q268" s="136" t="str">
        <f t="shared" si="29"/>
        <v/>
      </c>
    </row>
    <row r="269" spans="2:17" x14ac:dyDescent="0.25">
      <c r="B269" s="131">
        <f t="shared" si="30"/>
        <v>226</v>
      </c>
      <c r="C269" s="132">
        <f ca="1">IF(B269="","",'Fecha Pago'!K229)</f>
        <v>52568</v>
      </c>
      <c r="D269" s="133">
        <f>IF(B269="","",'Fecha Pago'!L229)</f>
        <v>30.4</v>
      </c>
      <c r="E269" s="134">
        <f t="shared" si="27"/>
        <v>9.3799999999999994E-2</v>
      </c>
      <c r="F269" s="135">
        <f t="shared" si="31"/>
        <v>0</v>
      </c>
      <c r="G269" s="135">
        <f>IF(B269="","",IF(F269=0,0,MIN(F269,IF(Catálogos!$N$6=1,Prepagos!C228,IF(Catálogos!$N$6=2,Prepagos!D228,IF(Catálogos!$N$6=3,Prepagos!E228,))))))</f>
        <v>0</v>
      </c>
      <c r="H269" s="135">
        <f t="shared" si="32"/>
        <v>0</v>
      </c>
      <c r="I269" s="135">
        <f t="shared" si="33"/>
        <v>0</v>
      </c>
      <c r="J269" s="135">
        <f>IF(B269="","",IF(F269=0,0,F269*Catálogos!$R$1))</f>
        <v>0</v>
      </c>
      <c r="K269" s="135">
        <f>IF(B269="","",IF(Catálogos!$K$10=1,Carátula!$F$17*Catálogos!$R$4,0))</f>
        <v>0</v>
      </c>
      <c r="L269" s="135">
        <f>IF(B269="","",IF(F269=0,0,CAT!H232))</f>
        <v>0</v>
      </c>
      <c r="M269" s="124"/>
      <c r="N269" s="135">
        <f t="shared" si="26"/>
        <v>0</v>
      </c>
      <c r="O269" s="135">
        <f t="shared" si="34"/>
        <v>0</v>
      </c>
      <c r="P269" s="135">
        <f t="shared" si="28"/>
        <v>0</v>
      </c>
      <c r="Q269" s="136" t="str">
        <f t="shared" si="29"/>
        <v/>
      </c>
    </row>
    <row r="270" spans="2:17" x14ac:dyDescent="0.25">
      <c r="B270" s="131">
        <f t="shared" si="30"/>
        <v>227</v>
      </c>
      <c r="C270" s="132">
        <f ca="1">IF(B270="","",'Fecha Pago'!K230)</f>
        <v>52599</v>
      </c>
      <c r="D270" s="133">
        <f>IF(B270="","",'Fecha Pago'!L230)</f>
        <v>30.4</v>
      </c>
      <c r="E270" s="134">
        <f t="shared" si="27"/>
        <v>9.3799999999999994E-2</v>
      </c>
      <c r="F270" s="135">
        <f t="shared" si="31"/>
        <v>0</v>
      </c>
      <c r="G270" s="135">
        <f>IF(B270="","",IF(F270=0,0,MIN(F270,IF(Catálogos!$N$6=1,Prepagos!C229,IF(Catálogos!$N$6=2,Prepagos!D229,IF(Catálogos!$N$6=3,Prepagos!E229,))))))</f>
        <v>0</v>
      </c>
      <c r="H270" s="135">
        <f t="shared" si="32"/>
        <v>0</v>
      </c>
      <c r="I270" s="135">
        <f t="shared" si="33"/>
        <v>0</v>
      </c>
      <c r="J270" s="135">
        <f>IF(B270="","",IF(F270=0,0,F270*Catálogos!$R$1))</f>
        <v>0</v>
      </c>
      <c r="K270" s="135">
        <f>IF(B270="","",IF(Catálogos!$K$10=1,Carátula!$F$17*Catálogos!$R$4,0))</f>
        <v>0</v>
      </c>
      <c r="L270" s="135">
        <f>IF(B270="","",IF(F270=0,0,CAT!H233))</f>
        <v>0</v>
      </c>
      <c r="M270" s="124"/>
      <c r="N270" s="135">
        <f t="shared" si="26"/>
        <v>0</v>
      </c>
      <c r="O270" s="135">
        <f t="shared" si="34"/>
        <v>0</v>
      </c>
      <c r="P270" s="135">
        <f t="shared" si="28"/>
        <v>0</v>
      </c>
      <c r="Q270" s="136" t="str">
        <f t="shared" si="29"/>
        <v/>
      </c>
    </row>
    <row r="271" spans="2:17" x14ac:dyDescent="0.25">
      <c r="B271" s="131">
        <f t="shared" si="30"/>
        <v>228</v>
      </c>
      <c r="C271" s="132">
        <f ca="1">IF(B271="","",'Fecha Pago'!K231)</f>
        <v>52630</v>
      </c>
      <c r="D271" s="133">
        <f>IF(B271="","",'Fecha Pago'!L231)</f>
        <v>30.4</v>
      </c>
      <c r="E271" s="134">
        <f t="shared" si="27"/>
        <v>9.3799999999999994E-2</v>
      </c>
      <c r="F271" s="135">
        <f t="shared" si="31"/>
        <v>0</v>
      </c>
      <c r="G271" s="135">
        <f>IF(B271="","",IF(F271=0,0,MIN(F271,IF(Catálogos!$N$6=1,Prepagos!C230,IF(Catálogos!$N$6=2,Prepagos!D230,IF(Catálogos!$N$6=3,Prepagos!E230,))))))</f>
        <v>0</v>
      </c>
      <c r="H271" s="135">
        <f t="shared" si="32"/>
        <v>0</v>
      </c>
      <c r="I271" s="135">
        <f t="shared" si="33"/>
        <v>0</v>
      </c>
      <c r="J271" s="135">
        <f>IF(B271="","",IF(F271=0,0,F271*Catálogos!$R$1))</f>
        <v>0</v>
      </c>
      <c r="K271" s="135">
        <f>IF(B271="","",IF(Catálogos!$K$10=1,Carátula!$F$17*Catálogos!$R$4,0))</f>
        <v>0</v>
      </c>
      <c r="L271" s="135">
        <f>IF(B271="","",IF(F271=0,0,CAT!H234))</f>
        <v>0</v>
      </c>
      <c r="M271" s="124"/>
      <c r="N271" s="135">
        <f t="shared" si="26"/>
        <v>0</v>
      </c>
      <c r="O271" s="135">
        <f t="shared" si="34"/>
        <v>0</v>
      </c>
      <c r="P271" s="135">
        <f t="shared" si="28"/>
        <v>0</v>
      </c>
      <c r="Q271" s="136" t="str">
        <f t="shared" si="29"/>
        <v/>
      </c>
    </row>
    <row r="272" spans="2:17" x14ac:dyDescent="0.25">
      <c r="B272" s="131">
        <f t="shared" si="30"/>
        <v>229</v>
      </c>
      <c r="C272" s="132">
        <f ca="1">IF(B272="","",'Fecha Pago'!K232)</f>
        <v>52659</v>
      </c>
      <c r="D272" s="133">
        <f>IF(B272="","",'Fecha Pago'!L232)</f>
        <v>30.4</v>
      </c>
      <c r="E272" s="134">
        <f t="shared" si="27"/>
        <v>9.3799999999999994E-2</v>
      </c>
      <c r="F272" s="135">
        <f t="shared" si="31"/>
        <v>0</v>
      </c>
      <c r="G272" s="135">
        <f>IF(B272="","",IF(F272=0,0,MIN(F272,IF(Catálogos!$N$6=1,Prepagos!C231,IF(Catálogos!$N$6=2,Prepagos!D231,IF(Catálogos!$N$6=3,Prepagos!E231,))))))</f>
        <v>0</v>
      </c>
      <c r="H272" s="135">
        <f t="shared" si="32"/>
        <v>0</v>
      </c>
      <c r="I272" s="135">
        <f t="shared" si="33"/>
        <v>0</v>
      </c>
      <c r="J272" s="135">
        <f>IF(B272="","",IF(F272=0,0,F272*Catálogos!$R$1))</f>
        <v>0</v>
      </c>
      <c r="K272" s="135">
        <f>IF(B272="","",IF(Catálogos!$K$10=1,Carátula!$F$17*Catálogos!$R$4,0))</f>
        <v>0</v>
      </c>
      <c r="L272" s="135">
        <f>IF(B272="","",IF(F272=0,0,CAT!H235))</f>
        <v>0</v>
      </c>
      <c r="M272" s="124"/>
      <c r="N272" s="135">
        <f t="shared" ref="N272:N283" si="35">IF(B272="","",0)</f>
        <v>0</v>
      </c>
      <c r="O272" s="135">
        <f t="shared" si="34"/>
        <v>0</v>
      </c>
      <c r="P272" s="135">
        <f t="shared" si="28"/>
        <v>0</v>
      </c>
      <c r="Q272" s="136" t="str">
        <f t="shared" si="29"/>
        <v/>
      </c>
    </row>
    <row r="273" spans="2:17" x14ac:dyDescent="0.25">
      <c r="B273" s="131">
        <f t="shared" si="30"/>
        <v>230</v>
      </c>
      <c r="C273" s="132">
        <f ca="1">IF(B273="","",'Fecha Pago'!K233)</f>
        <v>52690</v>
      </c>
      <c r="D273" s="133">
        <f>IF(B273="","",'Fecha Pago'!L233)</f>
        <v>30.4</v>
      </c>
      <c r="E273" s="134">
        <f t="shared" si="27"/>
        <v>9.3799999999999994E-2</v>
      </c>
      <c r="F273" s="135">
        <f t="shared" si="31"/>
        <v>0</v>
      </c>
      <c r="G273" s="135">
        <f>IF(B273="","",IF(F273=0,0,MIN(F273,IF(Catálogos!$N$6=1,Prepagos!C232,IF(Catálogos!$N$6=2,Prepagos!D232,IF(Catálogos!$N$6=3,Prepagos!E232,))))))</f>
        <v>0</v>
      </c>
      <c r="H273" s="135">
        <f t="shared" si="32"/>
        <v>0</v>
      </c>
      <c r="I273" s="135">
        <f t="shared" si="33"/>
        <v>0</v>
      </c>
      <c r="J273" s="135">
        <f>IF(B273="","",IF(F273=0,0,F273*Catálogos!$R$1))</f>
        <v>0</v>
      </c>
      <c r="K273" s="135">
        <f>IF(B273="","",IF(Catálogos!$K$10=1,Carátula!$F$17*Catálogos!$R$4,0))</f>
        <v>0</v>
      </c>
      <c r="L273" s="135">
        <f>IF(B273="","",IF(F273=0,0,CAT!H236))</f>
        <v>0</v>
      </c>
      <c r="M273" s="124"/>
      <c r="N273" s="135">
        <f t="shared" si="35"/>
        <v>0</v>
      </c>
      <c r="O273" s="135">
        <f t="shared" si="34"/>
        <v>0</v>
      </c>
      <c r="P273" s="135">
        <f t="shared" si="28"/>
        <v>0</v>
      </c>
      <c r="Q273" s="136" t="str">
        <f t="shared" si="29"/>
        <v/>
      </c>
    </row>
    <row r="274" spans="2:17" x14ac:dyDescent="0.25">
      <c r="B274" s="131">
        <f t="shared" si="30"/>
        <v>231</v>
      </c>
      <c r="C274" s="132">
        <f ca="1">IF(B274="","",'Fecha Pago'!K234)</f>
        <v>52720</v>
      </c>
      <c r="D274" s="133">
        <f>IF(B274="","",'Fecha Pago'!L234)</f>
        <v>30.4</v>
      </c>
      <c r="E274" s="134">
        <f t="shared" si="27"/>
        <v>9.3799999999999994E-2</v>
      </c>
      <c r="F274" s="135">
        <f t="shared" si="31"/>
        <v>0</v>
      </c>
      <c r="G274" s="135">
        <f>IF(B274="","",IF(F274=0,0,MIN(F274,IF(Catálogos!$N$6=1,Prepagos!C233,IF(Catálogos!$N$6=2,Prepagos!D233,IF(Catálogos!$N$6=3,Prepagos!E233,))))))</f>
        <v>0</v>
      </c>
      <c r="H274" s="135">
        <f t="shared" si="32"/>
        <v>0</v>
      </c>
      <c r="I274" s="135">
        <f t="shared" si="33"/>
        <v>0</v>
      </c>
      <c r="J274" s="135">
        <f>IF(B274="","",IF(F274=0,0,F274*Catálogos!$R$1))</f>
        <v>0</v>
      </c>
      <c r="K274" s="135">
        <f>IF(B274="","",IF(Catálogos!$K$10=1,Carátula!$F$17*Catálogos!$R$4,0))</f>
        <v>0</v>
      </c>
      <c r="L274" s="135">
        <f>IF(B274="","",IF(F274=0,0,CAT!H237))</f>
        <v>0</v>
      </c>
      <c r="M274" s="124"/>
      <c r="N274" s="135">
        <f t="shared" si="35"/>
        <v>0</v>
      </c>
      <c r="O274" s="135">
        <f t="shared" si="34"/>
        <v>0</v>
      </c>
      <c r="P274" s="135">
        <f t="shared" si="28"/>
        <v>0</v>
      </c>
      <c r="Q274" s="136" t="str">
        <f t="shared" si="29"/>
        <v/>
      </c>
    </row>
    <row r="275" spans="2:17" x14ac:dyDescent="0.25">
      <c r="B275" s="131">
        <f t="shared" si="30"/>
        <v>232</v>
      </c>
      <c r="C275" s="132">
        <f ca="1">IF(B275="","",'Fecha Pago'!K235)</f>
        <v>52751</v>
      </c>
      <c r="D275" s="133">
        <f>IF(B275="","",'Fecha Pago'!L235)</f>
        <v>30.4</v>
      </c>
      <c r="E275" s="134">
        <f t="shared" si="27"/>
        <v>9.3799999999999994E-2</v>
      </c>
      <c r="F275" s="135">
        <f t="shared" si="31"/>
        <v>0</v>
      </c>
      <c r="G275" s="135">
        <f>IF(B275="","",IF(F275=0,0,MIN(F275,IF(Catálogos!$N$6=1,Prepagos!C234,IF(Catálogos!$N$6=2,Prepagos!D234,IF(Catálogos!$N$6=3,Prepagos!E234,))))))</f>
        <v>0</v>
      </c>
      <c r="H275" s="135">
        <f t="shared" si="32"/>
        <v>0</v>
      </c>
      <c r="I275" s="135">
        <f t="shared" si="33"/>
        <v>0</v>
      </c>
      <c r="J275" s="135">
        <f>IF(B275="","",IF(F275=0,0,F275*Catálogos!$R$1))</f>
        <v>0</v>
      </c>
      <c r="K275" s="135">
        <f>IF(B275="","",IF(Catálogos!$K$10=1,Carátula!$F$17*Catálogos!$R$4,0))</f>
        <v>0</v>
      </c>
      <c r="L275" s="135">
        <f>IF(B275="","",IF(F275=0,0,CAT!H238))</f>
        <v>0</v>
      </c>
      <c r="M275" s="124"/>
      <c r="N275" s="135">
        <f t="shared" si="35"/>
        <v>0</v>
      </c>
      <c r="O275" s="135">
        <f t="shared" si="34"/>
        <v>0</v>
      </c>
      <c r="P275" s="135">
        <f t="shared" si="28"/>
        <v>0</v>
      </c>
      <c r="Q275" s="136" t="str">
        <f t="shared" si="29"/>
        <v/>
      </c>
    </row>
    <row r="276" spans="2:17" x14ac:dyDescent="0.25">
      <c r="B276" s="131">
        <f t="shared" si="30"/>
        <v>233</v>
      </c>
      <c r="C276" s="132">
        <f ca="1">IF(B276="","",'Fecha Pago'!K236)</f>
        <v>52781</v>
      </c>
      <c r="D276" s="133">
        <f>IF(B276="","",'Fecha Pago'!L236)</f>
        <v>30.4</v>
      </c>
      <c r="E276" s="134">
        <f t="shared" si="27"/>
        <v>9.3799999999999994E-2</v>
      </c>
      <c r="F276" s="135">
        <f t="shared" si="31"/>
        <v>0</v>
      </c>
      <c r="G276" s="135">
        <f>IF(B276="","",IF(F276=0,0,MIN(F276,IF(Catálogos!$N$6=1,Prepagos!C235,IF(Catálogos!$N$6=2,Prepagos!D235,IF(Catálogos!$N$6=3,Prepagos!E235,))))))</f>
        <v>0</v>
      </c>
      <c r="H276" s="135">
        <f t="shared" si="32"/>
        <v>0</v>
      </c>
      <c r="I276" s="135">
        <f t="shared" si="33"/>
        <v>0</v>
      </c>
      <c r="J276" s="135">
        <f>IF(B276="","",IF(F276=0,0,F276*Catálogos!$R$1))</f>
        <v>0</v>
      </c>
      <c r="K276" s="135">
        <f>IF(B276="","",IF(Catálogos!$K$10=1,Carátula!$F$17*Catálogos!$R$4,0))</f>
        <v>0</v>
      </c>
      <c r="L276" s="135">
        <f>IF(B276="","",IF(F276=0,0,CAT!H239))</f>
        <v>0</v>
      </c>
      <c r="M276" s="124"/>
      <c r="N276" s="135">
        <f t="shared" si="35"/>
        <v>0</v>
      </c>
      <c r="O276" s="135">
        <f t="shared" si="34"/>
        <v>0</v>
      </c>
      <c r="P276" s="135">
        <f t="shared" si="28"/>
        <v>0</v>
      </c>
      <c r="Q276" s="136" t="str">
        <f t="shared" si="29"/>
        <v/>
      </c>
    </row>
    <row r="277" spans="2:17" x14ac:dyDescent="0.25">
      <c r="B277" s="131">
        <f t="shared" si="30"/>
        <v>234</v>
      </c>
      <c r="C277" s="132">
        <f ca="1">IF(B277="","",'Fecha Pago'!K237)</f>
        <v>52812</v>
      </c>
      <c r="D277" s="133">
        <f>IF(B277="","",'Fecha Pago'!L237)</f>
        <v>30.4</v>
      </c>
      <c r="E277" s="134">
        <f t="shared" si="27"/>
        <v>9.3799999999999994E-2</v>
      </c>
      <c r="F277" s="135">
        <f t="shared" si="31"/>
        <v>0</v>
      </c>
      <c r="G277" s="135">
        <f>IF(B277="","",IF(F277=0,0,MIN(F277,IF(Catálogos!$N$6=1,Prepagos!C236,IF(Catálogos!$N$6=2,Prepagos!D236,IF(Catálogos!$N$6=3,Prepagos!E236,))))))</f>
        <v>0</v>
      </c>
      <c r="H277" s="135">
        <f t="shared" si="32"/>
        <v>0</v>
      </c>
      <c r="I277" s="135">
        <f t="shared" si="33"/>
        <v>0</v>
      </c>
      <c r="J277" s="135">
        <f>IF(B277="","",IF(F277=0,0,F277*Catálogos!$R$1))</f>
        <v>0</v>
      </c>
      <c r="K277" s="135">
        <f>IF(B277="","",IF(Catálogos!$K$10=1,Carátula!$F$17*Catálogos!$R$4,0))</f>
        <v>0</v>
      </c>
      <c r="L277" s="135">
        <f>IF(B277="","",IF(F277=0,0,CAT!H240))</f>
        <v>0</v>
      </c>
      <c r="M277" s="124"/>
      <c r="N277" s="135">
        <f t="shared" si="35"/>
        <v>0</v>
      </c>
      <c r="O277" s="135">
        <f t="shared" si="34"/>
        <v>0</v>
      </c>
      <c r="P277" s="135">
        <f t="shared" si="28"/>
        <v>0</v>
      </c>
      <c r="Q277" s="136" t="str">
        <f t="shared" si="29"/>
        <v/>
      </c>
    </row>
    <row r="278" spans="2:17" x14ac:dyDescent="0.25">
      <c r="B278" s="131">
        <f t="shared" si="30"/>
        <v>235</v>
      </c>
      <c r="C278" s="132">
        <f ca="1">IF(B278="","",'Fecha Pago'!K238)</f>
        <v>52843</v>
      </c>
      <c r="D278" s="133">
        <f>IF(B278="","",'Fecha Pago'!L238)</f>
        <v>30.4</v>
      </c>
      <c r="E278" s="134">
        <f t="shared" si="27"/>
        <v>9.3799999999999994E-2</v>
      </c>
      <c r="F278" s="135">
        <f t="shared" si="31"/>
        <v>0</v>
      </c>
      <c r="G278" s="135">
        <f>IF(B278="","",IF(F278=0,0,MIN(F278,IF(Catálogos!$N$6=1,Prepagos!C237,IF(Catálogos!$N$6=2,Prepagos!D237,IF(Catálogos!$N$6=3,Prepagos!E237,))))))</f>
        <v>0</v>
      </c>
      <c r="H278" s="135">
        <f t="shared" si="32"/>
        <v>0</v>
      </c>
      <c r="I278" s="135">
        <f t="shared" si="33"/>
        <v>0</v>
      </c>
      <c r="J278" s="135">
        <f>IF(B278="","",IF(F278=0,0,F278*Catálogos!$R$1))</f>
        <v>0</v>
      </c>
      <c r="K278" s="135">
        <f>IF(B278="","",IF(Catálogos!$K$10=1,Carátula!$F$17*Catálogos!$R$4,0))</f>
        <v>0</v>
      </c>
      <c r="L278" s="135">
        <f>IF(B278="","",IF(F278=0,0,CAT!H241))</f>
        <v>0</v>
      </c>
      <c r="M278" s="124"/>
      <c r="N278" s="135">
        <f t="shared" si="35"/>
        <v>0</v>
      </c>
      <c r="O278" s="135">
        <f t="shared" si="34"/>
        <v>0</v>
      </c>
      <c r="P278" s="135">
        <f t="shared" si="28"/>
        <v>0</v>
      </c>
      <c r="Q278" s="136" t="str">
        <f t="shared" si="29"/>
        <v/>
      </c>
    </row>
    <row r="279" spans="2:17" x14ac:dyDescent="0.25">
      <c r="B279" s="131">
        <f t="shared" si="30"/>
        <v>236</v>
      </c>
      <c r="C279" s="132">
        <f ca="1">IF(B279="","",'Fecha Pago'!K239)</f>
        <v>52873</v>
      </c>
      <c r="D279" s="133">
        <f>IF(B279="","",'Fecha Pago'!L239)</f>
        <v>30.4</v>
      </c>
      <c r="E279" s="134">
        <f t="shared" si="27"/>
        <v>9.3799999999999994E-2</v>
      </c>
      <c r="F279" s="135">
        <f t="shared" si="31"/>
        <v>0</v>
      </c>
      <c r="G279" s="135">
        <f>IF(B279="","",IF(F279=0,0,MIN(F279,IF(Catálogos!$N$6=1,Prepagos!C238,IF(Catálogos!$N$6=2,Prepagos!D238,IF(Catálogos!$N$6=3,Prepagos!E238,))))))</f>
        <v>0</v>
      </c>
      <c r="H279" s="135">
        <f t="shared" si="32"/>
        <v>0</v>
      </c>
      <c r="I279" s="135">
        <f t="shared" si="33"/>
        <v>0</v>
      </c>
      <c r="J279" s="135">
        <f>IF(B279="","",IF(F279=0,0,F279*Catálogos!$R$1))</f>
        <v>0</v>
      </c>
      <c r="K279" s="135">
        <f>IF(B279="","",IF(Catálogos!$K$10=1,Carátula!$F$17*Catálogos!$R$4,0))</f>
        <v>0</v>
      </c>
      <c r="L279" s="135">
        <f>IF(B279="","",IF(F279=0,0,CAT!H242))</f>
        <v>0</v>
      </c>
      <c r="M279" s="124"/>
      <c r="N279" s="135">
        <f t="shared" si="35"/>
        <v>0</v>
      </c>
      <c r="O279" s="135">
        <f t="shared" si="34"/>
        <v>0</v>
      </c>
      <c r="P279" s="135">
        <f t="shared" si="28"/>
        <v>0</v>
      </c>
      <c r="Q279" s="136" t="str">
        <f t="shared" si="29"/>
        <v/>
      </c>
    </row>
    <row r="280" spans="2:17" x14ac:dyDescent="0.25">
      <c r="B280" s="131">
        <f t="shared" si="30"/>
        <v>237</v>
      </c>
      <c r="C280" s="132">
        <f ca="1">IF(B280="","",'Fecha Pago'!K240)</f>
        <v>52904</v>
      </c>
      <c r="D280" s="133">
        <f>IF(B280="","",'Fecha Pago'!L240)</f>
        <v>30.4</v>
      </c>
      <c r="E280" s="134">
        <f t="shared" si="27"/>
        <v>9.3799999999999994E-2</v>
      </c>
      <c r="F280" s="135">
        <f t="shared" si="31"/>
        <v>0</v>
      </c>
      <c r="G280" s="135">
        <f>IF(B280="","",IF(F280=0,0,MIN(F280,IF(Catálogos!$N$6=1,Prepagos!C239,IF(Catálogos!$N$6=2,Prepagos!D239,IF(Catálogos!$N$6=3,Prepagos!E239,))))))</f>
        <v>0</v>
      </c>
      <c r="H280" s="135">
        <f t="shared" si="32"/>
        <v>0</v>
      </c>
      <c r="I280" s="135">
        <f t="shared" si="33"/>
        <v>0</v>
      </c>
      <c r="J280" s="135">
        <f>IF(B280="","",IF(F280=0,0,F280*Catálogos!$R$1))</f>
        <v>0</v>
      </c>
      <c r="K280" s="135">
        <f>IF(B280="","",IF(Catálogos!$K$10=1,Carátula!$F$17*Catálogos!$R$4,0))</f>
        <v>0</v>
      </c>
      <c r="L280" s="135">
        <f>IF(B280="","",IF(F280=0,0,CAT!H243))</f>
        <v>0</v>
      </c>
      <c r="M280" s="124"/>
      <c r="N280" s="135">
        <f t="shared" si="35"/>
        <v>0</v>
      </c>
      <c r="O280" s="135">
        <f t="shared" si="34"/>
        <v>0</v>
      </c>
      <c r="P280" s="135">
        <f t="shared" si="28"/>
        <v>0</v>
      </c>
      <c r="Q280" s="136" t="str">
        <f t="shared" si="29"/>
        <v/>
      </c>
    </row>
    <row r="281" spans="2:17" x14ac:dyDescent="0.25">
      <c r="B281" s="131">
        <f t="shared" si="30"/>
        <v>238</v>
      </c>
      <c r="C281" s="132">
        <f ca="1">IF(B281="","",'Fecha Pago'!K241)</f>
        <v>52934</v>
      </c>
      <c r="D281" s="133">
        <f>IF(B281="","",'Fecha Pago'!L241)</f>
        <v>30.4</v>
      </c>
      <c r="E281" s="134">
        <f t="shared" si="27"/>
        <v>9.3799999999999994E-2</v>
      </c>
      <c r="F281" s="135">
        <f t="shared" si="31"/>
        <v>0</v>
      </c>
      <c r="G281" s="135">
        <f>IF(B281="","",IF(F281=0,0,MIN(F281,IF(Catálogos!$N$6=1,Prepagos!C240,IF(Catálogos!$N$6=2,Prepagos!D240,IF(Catálogos!$N$6=3,Prepagos!E240,))))))</f>
        <v>0</v>
      </c>
      <c r="H281" s="135">
        <f t="shared" si="32"/>
        <v>0</v>
      </c>
      <c r="I281" s="135">
        <f t="shared" si="33"/>
        <v>0</v>
      </c>
      <c r="J281" s="135">
        <f>IF(B281="","",IF(F281=0,0,F281*Catálogos!$R$1))</f>
        <v>0</v>
      </c>
      <c r="K281" s="135">
        <f>IF(B281="","",IF(Catálogos!$K$10=1,Carátula!$F$17*Catálogos!$R$4,0))</f>
        <v>0</v>
      </c>
      <c r="L281" s="135">
        <f>IF(B281="","",IF(F281=0,0,CAT!H244))</f>
        <v>0</v>
      </c>
      <c r="M281" s="124"/>
      <c r="N281" s="135">
        <f t="shared" si="35"/>
        <v>0</v>
      </c>
      <c r="O281" s="135">
        <f t="shared" si="34"/>
        <v>0</v>
      </c>
      <c r="P281" s="135">
        <f t="shared" si="28"/>
        <v>0</v>
      </c>
      <c r="Q281" s="136" t="str">
        <f t="shared" si="29"/>
        <v/>
      </c>
    </row>
    <row r="282" spans="2:17" x14ac:dyDescent="0.25">
      <c r="B282" s="131">
        <f t="shared" si="30"/>
        <v>239</v>
      </c>
      <c r="C282" s="132">
        <f ca="1">IF(B282="","",'Fecha Pago'!K242)</f>
        <v>52965</v>
      </c>
      <c r="D282" s="133">
        <f>IF(B282="","",'Fecha Pago'!L242)</f>
        <v>30.4</v>
      </c>
      <c r="E282" s="134">
        <f t="shared" si="27"/>
        <v>9.3799999999999994E-2</v>
      </c>
      <c r="F282" s="135">
        <f t="shared" si="31"/>
        <v>0</v>
      </c>
      <c r="G282" s="135">
        <f>IF(B282="","",IF(F282=0,0,MIN(F282,IF(Catálogos!$N$6=1,Prepagos!C241,IF(Catálogos!$N$6=2,Prepagos!D241,IF(Catálogos!$N$6=3,Prepagos!E241,))))))</f>
        <v>0</v>
      </c>
      <c r="H282" s="135">
        <f t="shared" si="32"/>
        <v>0</v>
      </c>
      <c r="I282" s="135">
        <f t="shared" si="33"/>
        <v>0</v>
      </c>
      <c r="J282" s="135">
        <f>IF(B282="","",IF(F282=0,0,F282*Catálogos!$R$1))</f>
        <v>0</v>
      </c>
      <c r="K282" s="135">
        <f>IF(B282="","",IF(Catálogos!$K$10=1,Carátula!$F$17*Catálogos!$R$4,0))</f>
        <v>0</v>
      </c>
      <c r="L282" s="135">
        <f>IF(B282="","",IF(F282=0,0,CAT!H245))</f>
        <v>0</v>
      </c>
      <c r="M282" s="124"/>
      <c r="N282" s="135">
        <f t="shared" si="35"/>
        <v>0</v>
      </c>
      <c r="O282" s="135">
        <f t="shared" si="34"/>
        <v>0</v>
      </c>
      <c r="P282" s="135">
        <f t="shared" si="28"/>
        <v>0</v>
      </c>
      <c r="Q282" s="136" t="str">
        <f t="shared" si="29"/>
        <v/>
      </c>
    </row>
    <row r="283" spans="2:17" x14ac:dyDescent="0.25">
      <c r="B283" s="131">
        <f t="shared" si="30"/>
        <v>240</v>
      </c>
      <c r="C283" s="132">
        <f ca="1">IF(B283="","",'Fecha Pago'!K243)</f>
        <v>52996</v>
      </c>
      <c r="D283" s="133">
        <f>IF(B283="","",'Fecha Pago'!L243)</f>
        <v>30.4</v>
      </c>
      <c r="E283" s="134">
        <f t="shared" si="27"/>
        <v>9.3799999999999994E-2</v>
      </c>
      <c r="F283" s="135">
        <f t="shared" si="31"/>
        <v>0</v>
      </c>
      <c r="G283" s="135">
        <f>IF(B283="","",IF(F283=0,0,MIN(F283,IF(Catálogos!$N$6=1,Prepagos!C242,IF(Catálogos!$N$6=2,Prepagos!D242,IF(Catálogos!$N$6=3,Prepagos!E242,))))))</f>
        <v>0</v>
      </c>
      <c r="H283" s="135">
        <f t="shared" si="32"/>
        <v>0</v>
      </c>
      <c r="I283" s="135">
        <f t="shared" si="33"/>
        <v>0</v>
      </c>
      <c r="J283" s="135">
        <f>IF(B283="","",IF(F283=0,0,F283*Catálogos!$R$1))</f>
        <v>0</v>
      </c>
      <c r="K283" s="135">
        <f>IF(B283="","",IF(Catálogos!$K$10=1,Carátula!$F$17*Catálogos!$R$4,0))</f>
        <v>0</v>
      </c>
      <c r="L283" s="135">
        <f>IF(B283="","",IF(F283=0,0,CAT!H246))</f>
        <v>0</v>
      </c>
      <c r="M283" s="124"/>
      <c r="N283" s="135">
        <f t="shared" si="35"/>
        <v>0</v>
      </c>
      <c r="O283" s="135">
        <f t="shared" si="34"/>
        <v>0</v>
      </c>
      <c r="P283" s="135">
        <f t="shared" si="28"/>
        <v>0</v>
      </c>
      <c r="Q283" s="136" t="str">
        <f t="shared" si="29"/>
        <v/>
      </c>
    </row>
    <row r="284" spans="2:17" ht="5.25" customHeight="1" x14ac:dyDescent="0.25">
      <c r="B284" s="100"/>
    </row>
    <row r="285" spans="2:17" ht="15.75" customHeight="1" thickBot="1" x14ac:dyDescent="0.3">
      <c r="B285" s="235" t="s">
        <v>145</v>
      </c>
      <c r="C285" s="235"/>
      <c r="D285" s="235"/>
      <c r="E285" s="235"/>
      <c r="F285" s="137"/>
      <c r="G285" s="138">
        <f>SUM(G44:G283)</f>
        <v>800000.00000000058</v>
      </c>
      <c r="H285" s="138">
        <f t="shared" ref="H285:L285" ca="1" si="36">SUM(H44:H283)</f>
        <v>371881.01061819651</v>
      </c>
      <c r="I285" s="138">
        <f t="shared" ca="1" si="36"/>
        <v>59500.961698911422</v>
      </c>
      <c r="J285" s="138">
        <f t="shared" ca="1" si="36"/>
        <v>28172.800153437609</v>
      </c>
      <c r="K285" s="138">
        <f t="shared" si="36"/>
        <v>0</v>
      </c>
      <c r="L285" s="138">
        <f t="shared" si="36"/>
        <v>0</v>
      </c>
      <c r="M285" s="137"/>
      <c r="N285" s="137"/>
      <c r="O285" s="138">
        <f t="shared" ref="O285" ca="1" si="37">SUM(O44:O283)</f>
        <v>1259554.7724705457</v>
      </c>
      <c r="P285" s="137"/>
    </row>
    <row r="286" spans="2:17" ht="7.5" customHeight="1" thickTop="1" x14ac:dyDescent="0.25">
      <c r="B286" s="100"/>
    </row>
    <row r="287" spans="2:17" x14ac:dyDescent="0.25">
      <c r="B287" s="106" t="s">
        <v>170</v>
      </c>
    </row>
    <row r="288" spans="2:17" ht="6.75" customHeight="1" x14ac:dyDescent="0.25">
      <c r="B288" s="100"/>
    </row>
    <row r="289" spans="2:2" hidden="1" x14ac:dyDescent="0.25">
      <c r="B289" s="100"/>
    </row>
    <row r="290" spans="2:2" hidden="1" x14ac:dyDescent="0.25">
      <c r="B290" s="100"/>
    </row>
    <row r="291" spans="2:2" hidden="1" x14ac:dyDescent="0.25">
      <c r="B291" s="100"/>
    </row>
    <row r="292" spans="2:2" hidden="1" x14ac:dyDescent="0.25">
      <c r="B292" s="100"/>
    </row>
    <row r="293" spans="2:2" hidden="1" x14ac:dyDescent="0.25">
      <c r="B293" s="100"/>
    </row>
    <row r="294" spans="2:2" hidden="1" x14ac:dyDescent="0.25">
      <c r="B294" s="100"/>
    </row>
    <row r="295" spans="2:2" hidden="1" x14ac:dyDescent="0.25">
      <c r="B295" s="100"/>
    </row>
    <row r="296" spans="2:2" hidden="1" x14ac:dyDescent="0.25">
      <c r="B296" s="100"/>
    </row>
    <row r="297" spans="2:2" hidden="1" x14ac:dyDescent="0.25">
      <c r="B297" s="100"/>
    </row>
    <row r="298" spans="2:2" hidden="1" x14ac:dyDescent="0.25">
      <c r="B298" s="100"/>
    </row>
    <row r="299" spans="2:2" hidden="1" x14ac:dyDescent="0.25">
      <c r="B299" s="100"/>
    </row>
    <row r="300" spans="2:2" hidden="1" x14ac:dyDescent="0.25">
      <c r="B300" s="100"/>
    </row>
    <row r="301" spans="2:2" hidden="1" x14ac:dyDescent="0.25">
      <c r="B301" s="100"/>
    </row>
    <row r="302" spans="2:2" hidden="1" x14ac:dyDescent="0.25">
      <c r="B302" s="100"/>
    </row>
    <row r="303" spans="2:2" hidden="1" x14ac:dyDescent="0.25">
      <c r="B303" s="100"/>
    </row>
    <row r="304" spans="2:2" hidden="1" x14ac:dyDescent="0.25">
      <c r="B304" s="100"/>
    </row>
    <row r="305" spans="2:2" hidden="1" x14ac:dyDescent="0.25">
      <c r="B305" s="100"/>
    </row>
    <row r="306" spans="2:2" hidden="1" x14ac:dyDescent="0.25">
      <c r="B306" s="100"/>
    </row>
    <row r="307" spans="2:2" hidden="1" x14ac:dyDescent="0.25">
      <c r="B307" s="100"/>
    </row>
    <row r="308" spans="2:2" hidden="1" x14ac:dyDescent="0.25">
      <c r="B308" s="100"/>
    </row>
    <row r="309" spans="2:2" hidden="1" x14ac:dyDescent="0.25">
      <c r="B309" s="100"/>
    </row>
    <row r="310" spans="2:2" hidden="1" x14ac:dyDescent="0.25">
      <c r="B310" s="100"/>
    </row>
    <row r="311" spans="2:2" hidden="1" x14ac:dyDescent="0.25">
      <c r="B311" s="100"/>
    </row>
  </sheetData>
  <sheetProtection algorithmName="SHA-512" hashValue="OjiB3MsRuM7DM8FCKcyIvZLpR/fNzTKAxoJuM10mGO9buRVgPifQZdDDXEx974YaS7ckk/zsYvCDl6jdixmC3A==" saltValue="7uGn0w7WSQup/ou8dKw6NA==" spinCount="100000" sheet="1" objects="1" scenarios="1"/>
  <mergeCells count="26">
    <mergeCell ref="L2:O2"/>
    <mergeCell ref="B41:C41"/>
    <mergeCell ref="E41:F41"/>
    <mergeCell ref="B24:P24"/>
    <mergeCell ref="B5:P5"/>
    <mergeCell ref="G32:H32"/>
    <mergeCell ref="B37:P37"/>
    <mergeCell ref="N39:O39"/>
    <mergeCell ref="F19:G19"/>
    <mergeCell ref="N9:O9"/>
    <mergeCell ref="N7:O7"/>
    <mergeCell ref="N11:O11"/>
    <mergeCell ref="N13:O13"/>
    <mergeCell ref="F7:G7"/>
    <mergeCell ref="B39:D39"/>
    <mergeCell ref="B4:P4"/>
    <mergeCell ref="B285:E285"/>
    <mergeCell ref="F13:G13"/>
    <mergeCell ref="F17:G17"/>
    <mergeCell ref="F15:G15"/>
    <mergeCell ref="I35:J35"/>
    <mergeCell ref="F9:G9"/>
    <mergeCell ref="F11:G11"/>
    <mergeCell ref="F21:G21"/>
    <mergeCell ref="B30:F32"/>
    <mergeCell ref="I34:J34"/>
  </mergeCells>
  <conditionalFormatting sqref="D41">
    <cfRule type="expression" dxfId="18" priority="16" stopIfTrue="1">
      <formula>#REF!&gt;0</formula>
    </cfRule>
  </conditionalFormatting>
  <conditionalFormatting sqref="E39">
    <cfRule type="expression" dxfId="17" priority="17">
      <formula>AND(#REF!&gt;"",#REF!&gt;"")</formula>
    </cfRule>
    <cfRule type="expression" dxfId="16" priority="18">
      <formula>$K$70&gt;""</formula>
    </cfRule>
  </conditionalFormatting>
  <conditionalFormatting sqref="F9:G9">
    <cfRule type="cellIs" dxfId="15" priority="33" operator="greaterThan">
      <formula>0</formula>
    </cfRule>
  </conditionalFormatting>
  <conditionalFormatting sqref="F11:G11">
    <cfRule type="cellIs" dxfId="14" priority="32" operator="greaterThan">
      <formula>0</formula>
    </cfRule>
  </conditionalFormatting>
  <conditionalFormatting sqref="F13:G13">
    <cfRule type="cellIs" dxfId="13" priority="31" operator="greaterThan">
      <formula>0</formula>
    </cfRule>
  </conditionalFormatting>
  <conditionalFormatting sqref="F15:G15">
    <cfRule type="cellIs" dxfId="12" priority="29" operator="greaterThan">
      <formula>0</formula>
    </cfRule>
  </conditionalFormatting>
  <conditionalFormatting sqref="F17:G17">
    <cfRule type="cellIs" dxfId="11" priority="30" operator="greaterThan">
      <formula>0</formula>
    </cfRule>
  </conditionalFormatting>
  <conditionalFormatting sqref="F19:G19">
    <cfRule type="cellIs" dxfId="10" priority="28" operator="greaterThan">
      <formula>0</formula>
    </cfRule>
  </conditionalFormatting>
  <conditionalFormatting sqref="F21:G22">
    <cfRule type="cellIs" dxfId="9" priority="2" operator="greaterThan">
      <formula>0</formula>
    </cfRule>
  </conditionalFormatting>
  <conditionalFormatting sqref="G43:O43">
    <cfRule type="containsBlanks" dxfId="8" priority="8">
      <formula>LEN(TRIM(G43))=0</formula>
    </cfRule>
  </conditionalFormatting>
  <conditionalFormatting sqref="N15">
    <cfRule type="cellIs" dxfId="7" priority="22" operator="greaterThan">
      <formula>0</formula>
    </cfRule>
  </conditionalFormatting>
  <conditionalFormatting sqref="N17">
    <cfRule type="cellIs" dxfId="6" priority="1" operator="greaterThan">
      <formula>0</formula>
    </cfRule>
  </conditionalFormatting>
  <conditionalFormatting sqref="N7:O7">
    <cfRule type="cellIs" dxfId="5" priority="26" operator="greaterThan">
      <formula>0</formula>
    </cfRule>
  </conditionalFormatting>
  <conditionalFormatting sqref="N9:O9">
    <cfRule type="cellIs" dxfId="4" priority="27" operator="greaterThan">
      <formula>0</formula>
    </cfRule>
  </conditionalFormatting>
  <conditionalFormatting sqref="N11:O11">
    <cfRule type="cellIs" dxfId="3" priority="23" operator="greaterThan">
      <formula>0</formula>
    </cfRule>
  </conditionalFormatting>
  <printOptions horizontalCentered="1"/>
  <pageMargins left="0.70866141732283472" right="0.70866141732283472" top="0.74803149606299213" bottom="0.74803149606299213" header="0.31496062992125984" footer="0.31496062992125984"/>
  <pageSetup scale="43" fitToHeight="0"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A206ED02-19B6-41C4-96C9-22E41032FB60}">
          <x14:formula1>
            <xm:f>Catálogos!$D$2:$D$3</xm:f>
          </x14:formula1>
          <xm:sqref>N7:O7</xm:sqref>
        </x14:dataValidation>
        <x14:dataValidation type="list" allowBlank="1" showInputMessage="1" showErrorMessage="1" xr:uid="{8B344D1B-D2D5-49AF-84D2-06E55E2E68C2}">
          <x14:formula1>
            <xm:f>Catálogos!$B$2:$B$17</xm:f>
          </x14:formula1>
          <xm:sqref>N9:O9</xm:sqref>
        </x14:dataValidation>
        <x14:dataValidation type="list" allowBlank="1" showInputMessage="1" showErrorMessage="1" xr:uid="{2E0D40E9-0DDC-4E43-8C89-9AC4F339E439}">
          <x14:formula1>
            <xm:f>Catálogos!$F$2:$F$3</xm:f>
          </x14:formula1>
          <xm:sqref>N11:O11 I11 I15</xm:sqref>
        </x14:dataValidation>
        <x14:dataValidation type="list" allowBlank="1" showInputMessage="1" showErrorMessage="1" xr:uid="{542B00BE-2253-42FD-8DED-FF9913BC7C02}">
          <x14:formula1>
            <xm:f>Catálogos!$H$2:$H$33</xm:f>
          </x14:formula1>
          <xm:sqref>N13:O13</xm:sqref>
        </x14:dataValidation>
        <x14:dataValidation type="list" allowBlank="1" showInputMessage="1" showErrorMessage="1" xr:uid="{44BB534D-0F39-494B-83EE-391F42CC7E11}">
          <x14:formula1>
            <xm:f>Catálogos!$J$2:$J$6</xm:f>
          </x14:formula1>
          <xm:sqref>E39</xm:sqref>
        </x14:dataValidation>
        <x14:dataValidation type="list" allowBlank="1" showInputMessage="1" showErrorMessage="1" xr:uid="{41FB5119-2F92-4FF4-9820-55526B6701FC}">
          <x14:formula1>
            <xm:f>Catálogos!$M$2:$M$4</xm:f>
          </x14:formula1>
          <xm:sqref>N39:O39</xm:sqref>
        </x14:dataValidation>
        <x14:dataValidation type="list" allowBlank="1" showInputMessage="1" showErrorMessage="1" xr:uid="{06701D50-D3E9-4C93-9FCF-23D0346F175D}">
          <x14:formula1>
            <xm:f>Catálogos!$Q$13:$Q$14</xm:f>
          </x14:formula1>
          <xm:sqref>I35</xm:sqref>
        </x14:dataValidation>
        <x14:dataValidation type="list" allowBlank="1" showInputMessage="1" showErrorMessage="1" xr:uid="{CE7CCC74-97D2-4CCA-B833-2AAEB4089B1E}">
          <x14:formula1>
            <xm:f>Catálogos!$J$11</xm:f>
          </x14:formula1>
          <xm:sqref>F9:G9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3807A-C725-4DD9-AFD7-DA79E1832F88}">
  <sheetPr codeName="Sheet2">
    <pageSetUpPr fitToPage="1"/>
  </sheetPr>
  <dimension ref="A1:O252"/>
  <sheetViews>
    <sheetView showGridLines="0" zoomScaleNormal="100" workbookViewId="0">
      <selection activeCell="C23" sqref="C23"/>
    </sheetView>
  </sheetViews>
  <sheetFormatPr baseColWidth="10" defaultColWidth="0" defaultRowHeight="11.65" customHeight="1" zeroHeight="1" x14ac:dyDescent="0.2"/>
  <cols>
    <col min="1" max="1" width="1.7109375" style="123" customWidth="1"/>
    <col min="2" max="2" width="24.140625" style="123" customWidth="1"/>
    <col min="3" max="3" width="17.7109375" style="123" customWidth="1"/>
    <col min="4" max="4" width="23.5703125" style="123" customWidth="1"/>
    <col min="5" max="5" width="26.85546875" style="123" customWidth="1"/>
    <col min="6" max="6" width="4.28515625" style="123" customWidth="1"/>
    <col min="7" max="13" width="25.5703125" style="123" hidden="1" customWidth="1"/>
    <col min="14" max="14" width="29" style="123" hidden="1" customWidth="1"/>
    <col min="15" max="16384" width="25.5703125" style="123" hidden="1"/>
  </cols>
  <sheetData>
    <row r="1" spans="2:15" ht="11.65" customHeight="1" x14ac:dyDescent="0.2"/>
    <row r="2" spans="2:15" ht="11.65" customHeight="1" x14ac:dyDescent="0.2"/>
    <row r="3" spans="2:15" ht="11.65" customHeight="1" x14ac:dyDescent="0.2">
      <c r="H3" s="103"/>
    </row>
    <row r="4" spans="2:15" ht="11.65" customHeight="1" x14ac:dyDescent="0.2">
      <c r="B4" s="101" t="s">
        <v>159</v>
      </c>
      <c r="C4" s="248">
        <f>Carátula!L2</f>
        <v>0</v>
      </c>
      <c r="D4" s="248"/>
      <c r="E4" s="248"/>
      <c r="O4" s="217"/>
    </row>
    <row r="5" spans="2:15" ht="11.65" customHeight="1" x14ac:dyDescent="0.2">
      <c r="B5" s="101" t="s">
        <v>160</v>
      </c>
      <c r="C5" s="108" t="s">
        <v>161</v>
      </c>
      <c r="D5" s="102" t="s">
        <v>163</v>
      </c>
      <c r="E5" s="103"/>
      <c r="M5" s="218"/>
      <c r="N5" s="218"/>
    </row>
    <row r="6" spans="2:15" ht="11.65" customHeight="1" x14ac:dyDescent="0.2">
      <c r="B6" s="101" t="s">
        <v>162</v>
      </c>
      <c r="C6" s="104">
        <f>Carátula!$E$39</f>
        <v>9.3799999999999994E-2</v>
      </c>
      <c r="D6" s="103"/>
      <c r="E6" s="103"/>
      <c r="M6" s="219"/>
    </row>
    <row r="7" spans="2:15" ht="11.65" customHeight="1" x14ac:dyDescent="0.2">
      <c r="B7" s="101" t="s">
        <v>164</v>
      </c>
      <c r="C7" s="105">
        <f>Carátula!$F$44</f>
        <v>800000</v>
      </c>
      <c r="D7" s="106"/>
      <c r="E7" s="106"/>
      <c r="M7" s="219"/>
    </row>
    <row r="8" spans="2:15" ht="11.65" customHeight="1" x14ac:dyDescent="0.2">
      <c r="B8" s="101" t="s">
        <v>165</v>
      </c>
      <c r="C8" s="108" t="str">
        <f>Carátula!I35</f>
        <v>Liquidez</v>
      </c>
      <c r="D8" s="102"/>
      <c r="E8" s="106"/>
      <c r="M8" s="219"/>
    </row>
    <row r="9" spans="2:15" ht="11.65" customHeight="1" x14ac:dyDescent="0.2">
      <c r="B9" s="1"/>
      <c r="C9" s="107"/>
      <c r="D9" s="108"/>
      <c r="E9" s="106"/>
      <c r="M9" s="219"/>
    </row>
    <row r="10" spans="2:15" ht="11.65" customHeight="1" x14ac:dyDescent="0.2">
      <c r="B10" s="249" t="s">
        <v>166</v>
      </c>
      <c r="C10" s="250"/>
      <c r="D10" s="250"/>
      <c r="E10" s="251"/>
      <c r="M10" s="219"/>
    </row>
    <row r="11" spans="2:15" ht="11.65" customHeight="1" x14ac:dyDescent="0.2">
      <c r="B11" s="109" t="s">
        <v>72</v>
      </c>
      <c r="C11" s="110" t="s">
        <v>152</v>
      </c>
      <c r="D11" s="110" t="s">
        <v>167</v>
      </c>
      <c r="E11" s="111" t="s">
        <v>168</v>
      </c>
      <c r="M11" s="219"/>
    </row>
    <row r="12" spans="2:15" ht="11.65" customHeight="1" x14ac:dyDescent="0.2">
      <c r="B12" s="112">
        <v>1</v>
      </c>
      <c r="C12" s="113">
        <f>CAT!B7</f>
        <v>800000</v>
      </c>
      <c r="D12" s="114">
        <f>CAT!C7</f>
        <v>1122.9854775705799</v>
      </c>
      <c r="E12" s="115">
        <f>IF(B12="","",C12-D12)</f>
        <v>798877.01452242944</v>
      </c>
      <c r="M12" s="219"/>
    </row>
    <row r="13" spans="2:15" ht="11.65" customHeight="1" x14ac:dyDescent="0.2">
      <c r="B13" s="116">
        <f>CAT!A8</f>
        <v>2</v>
      </c>
      <c r="C13" s="117">
        <f>CAT!B8</f>
        <v>798877.01452242944</v>
      </c>
      <c r="D13" s="117">
        <f>CAT!C8</f>
        <v>1131.8805207622518</v>
      </c>
      <c r="E13" s="118">
        <f t="shared" ref="E13:E76" si="0">IF(B13="","",C13-D13)</f>
        <v>797745.13400166715</v>
      </c>
      <c r="M13" s="219"/>
    </row>
    <row r="14" spans="2:15" ht="11.65" customHeight="1" x14ac:dyDescent="0.2">
      <c r="B14" s="116">
        <f>CAT!A9</f>
        <v>3</v>
      </c>
      <c r="C14" s="117">
        <f>CAT!B9</f>
        <v>797745.13400166715</v>
      </c>
      <c r="D14" s="117">
        <f>CAT!C9</f>
        <v>1140.8460206027075</v>
      </c>
      <c r="E14" s="118">
        <f t="shared" si="0"/>
        <v>796604.28798106441</v>
      </c>
      <c r="M14" s="219"/>
    </row>
    <row r="15" spans="2:15" ht="11.65" customHeight="1" x14ac:dyDescent="0.2">
      <c r="B15" s="116">
        <f>CAT!A10</f>
        <v>4</v>
      </c>
      <c r="C15" s="117">
        <f>CAT!B10</f>
        <v>796604.28798106441</v>
      </c>
      <c r="D15" s="117">
        <f>CAT!C10</f>
        <v>1149.882535171233</v>
      </c>
      <c r="E15" s="118">
        <f t="shared" si="0"/>
        <v>795454.40544589318</v>
      </c>
      <c r="M15" s="219"/>
    </row>
    <row r="16" spans="2:15" ht="11.65" customHeight="1" x14ac:dyDescent="0.2">
      <c r="B16" s="116">
        <f>CAT!A11</f>
        <v>5</v>
      </c>
      <c r="C16" s="117">
        <f>CAT!B11</f>
        <v>795454.40544589318</v>
      </c>
      <c r="D16" s="117">
        <f>CAT!C11</f>
        <v>1158.9906269675985</v>
      </c>
      <c r="E16" s="118">
        <f t="shared" si="0"/>
        <v>794295.41481892555</v>
      </c>
      <c r="M16" s="219"/>
    </row>
    <row r="17" spans="2:15" ht="11.65" customHeight="1" x14ac:dyDescent="0.2">
      <c r="B17" s="116">
        <f>CAT!A12</f>
        <v>6</v>
      </c>
      <c r="C17" s="117">
        <f>CAT!B12</f>
        <v>794295.41481892555</v>
      </c>
      <c r="D17" s="117">
        <f>CAT!C12</f>
        <v>1168.1708629470722</v>
      </c>
      <c r="E17" s="118">
        <f t="shared" si="0"/>
        <v>793127.24395597843</v>
      </c>
      <c r="M17" s="219"/>
    </row>
    <row r="18" spans="2:15" ht="11.65" customHeight="1" x14ac:dyDescent="0.2">
      <c r="B18" s="116">
        <f>CAT!A13</f>
        <v>7</v>
      </c>
      <c r="C18" s="117">
        <f>CAT!B13</f>
        <v>793127.24395597843</v>
      </c>
      <c r="D18" s="117">
        <f>CAT!C13</f>
        <v>1177.4238145557138</v>
      </c>
      <c r="E18" s="118">
        <f t="shared" si="0"/>
        <v>791949.82014142268</v>
      </c>
      <c r="M18" s="219"/>
    </row>
    <row r="19" spans="2:15" ht="11.65" customHeight="1" x14ac:dyDescent="0.2">
      <c r="B19" s="116">
        <f>CAT!A14</f>
        <v>8</v>
      </c>
      <c r="C19" s="117">
        <f>CAT!B14</f>
        <v>791949.82014142268</v>
      </c>
      <c r="D19" s="117">
        <f>CAT!C14</f>
        <v>1186.7500577659421</v>
      </c>
      <c r="E19" s="118">
        <f t="shared" si="0"/>
        <v>790763.0700836567</v>
      </c>
      <c r="M19" s="219"/>
    </row>
    <row r="20" spans="2:15" ht="11.65" customHeight="1" x14ac:dyDescent="0.2">
      <c r="B20" s="116">
        <f>CAT!A15</f>
        <v>9</v>
      </c>
      <c r="C20" s="117">
        <f>CAT!B15</f>
        <v>790763.0700836567</v>
      </c>
      <c r="D20" s="117">
        <f>CAT!C15</f>
        <v>1196.150173112389</v>
      </c>
      <c r="E20" s="118">
        <f t="shared" si="0"/>
        <v>789566.9199105443</v>
      </c>
      <c r="M20" s="219"/>
    </row>
    <row r="21" spans="2:15" ht="11.65" customHeight="1" x14ac:dyDescent="0.2">
      <c r="B21" s="116">
        <f>CAT!A16</f>
        <v>10</v>
      </c>
      <c r="C21" s="117">
        <f>CAT!B16</f>
        <v>789566.9199105443</v>
      </c>
      <c r="D21" s="117">
        <f>CAT!C16</f>
        <v>1205.6247457280369</v>
      </c>
      <c r="E21" s="118">
        <f t="shared" si="0"/>
        <v>788361.29516481631</v>
      </c>
      <c r="M21" s="219"/>
    </row>
    <row r="22" spans="2:15" ht="11.65" customHeight="1" x14ac:dyDescent="0.2">
      <c r="B22" s="116">
        <f>CAT!A17</f>
        <v>11</v>
      </c>
      <c r="C22" s="117">
        <f>CAT!B17</f>
        <v>788361.29516481631</v>
      </c>
      <c r="D22" s="117">
        <f>CAT!C17</f>
        <v>1215.1743653806434</v>
      </c>
      <c r="E22" s="118">
        <f t="shared" si="0"/>
        <v>787146.12079943565</v>
      </c>
      <c r="M22" s="219"/>
    </row>
    <row r="23" spans="2:15" ht="11.65" customHeight="1" x14ac:dyDescent="0.2">
      <c r="B23" s="119">
        <f>CAT!A18</f>
        <v>12</v>
      </c>
      <c r="C23" s="120">
        <f>CAT!B18</f>
        <v>787146.12079943565</v>
      </c>
      <c r="D23" s="120">
        <f>CAT!C18</f>
        <v>1224.7996265094498</v>
      </c>
      <c r="E23" s="121">
        <f t="shared" si="0"/>
        <v>785921.32117292623</v>
      </c>
      <c r="M23" s="219"/>
    </row>
    <row r="24" spans="2:15" ht="11.65" customHeight="1" x14ac:dyDescent="0.2">
      <c r="B24" s="112">
        <f>CAT!A19</f>
        <v>13</v>
      </c>
      <c r="C24" s="113">
        <f>CAT!B19</f>
        <v>785921.32117292623</v>
      </c>
      <c r="D24" s="114">
        <f>CAT!C19</f>
        <v>1234.5011282621836</v>
      </c>
      <c r="E24" s="115">
        <f t="shared" si="0"/>
        <v>784686.82004466408</v>
      </c>
      <c r="M24" s="219"/>
    </row>
    <row r="25" spans="2:15" ht="11.65" customHeight="1" x14ac:dyDescent="0.2">
      <c r="B25" s="116">
        <f>CAT!A20</f>
        <v>14</v>
      </c>
      <c r="C25" s="117">
        <f>CAT!B20</f>
        <v>784686.82004466408</v>
      </c>
      <c r="D25" s="117">
        <f>CAT!C20</f>
        <v>1244.2794745323563</v>
      </c>
      <c r="E25" s="118">
        <f t="shared" si="0"/>
        <v>783442.54057013174</v>
      </c>
      <c r="M25" s="219"/>
    </row>
    <row r="26" spans="2:15" ht="11.65" customHeight="1" x14ac:dyDescent="0.2">
      <c r="B26" s="116">
        <f>CAT!A21</f>
        <v>15</v>
      </c>
      <c r="C26" s="117">
        <f>CAT!B21</f>
        <v>783442.54057013174</v>
      </c>
      <c r="D26" s="117">
        <f>CAT!C21</f>
        <v>1254.1352739968515</v>
      </c>
      <c r="E26" s="118">
        <f t="shared" si="0"/>
        <v>782188.40529613488</v>
      </c>
      <c r="M26" s="219"/>
    </row>
    <row r="27" spans="2:15" ht="11.65" customHeight="1" x14ac:dyDescent="0.2">
      <c r="B27" s="116">
        <f>CAT!A22</f>
        <v>16</v>
      </c>
      <c r="C27" s="117">
        <f>CAT!B22</f>
        <v>782188.40529613488</v>
      </c>
      <c r="D27" s="117">
        <f>CAT!C22</f>
        <v>1264.069140153817</v>
      </c>
      <c r="E27" s="118">
        <f t="shared" si="0"/>
        <v>780924.33615598106</v>
      </c>
      <c r="M27" s="219"/>
    </row>
    <row r="28" spans="2:15" ht="11.65" customHeight="1" x14ac:dyDescent="0.2">
      <c r="B28" s="116">
        <f>CAT!A23</f>
        <v>17</v>
      </c>
      <c r="C28" s="117">
        <f>CAT!B23</f>
        <v>780924.33615598106</v>
      </c>
      <c r="D28" s="117">
        <f>CAT!C23</f>
        <v>1274.0816913608487</v>
      </c>
      <c r="E28" s="118">
        <f t="shared" si="0"/>
        <v>779650.25446462026</v>
      </c>
      <c r="M28" s="219"/>
    </row>
    <row r="29" spans="2:15" ht="11.65" customHeight="1" x14ac:dyDescent="0.2">
      <c r="B29" s="116">
        <f>CAT!A24</f>
        <v>18</v>
      </c>
      <c r="C29" s="117">
        <f>CAT!B24</f>
        <v>779650.25446462026</v>
      </c>
      <c r="D29" s="117">
        <f>CAT!C24</f>
        <v>1284.1735508734855</v>
      </c>
      <c r="E29" s="118">
        <f t="shared" si="0"/>
        <v>778366.08091374673</v>
      </c>
    </row>
    <row r="30" spans="2:15" ht="11.65" customHeight="1" x14ac:dyDescent="0.2">
      <c r="B30" s="116">
        <f>CAT!A25</f>
        <v>19</v>
      </c>
      <c r="C30" s="117">
        <f>CAT!B25</f>
        <v>778366.08091374673</v>
      </c>
      <c r="D30" s="117">
        <f>CAT!C25</f>
        <v>1294.3453468840044</v>
      </c>
      <c r="E30" s="118">
        <f t="shared" si="0"/>
        <v>777071.73556686274</v>
      </c>
      <c r="M30" s="219"/>
      <c r="O30" s="217"/>
    </row>
    <row r="31" spans="2:15" ht="11.65" customHeight="1" x14ac:dyDescent="0.2">
      <c r="B31" s="116">
        <f>CAT!A26</f>
        <v>20</v>
      </c>
      <c r="C31" s="117">
        <f>CAT!B26</f>
        <v>777071.73556686274</v>
      </c>
      <c r="D31" s="117">
        <f>CAT!C26</f>
        <v>1304.5977125605232</v>
      </c>
      <c r="E31" s="118">
        <f t="shared" si="0"/>
        <v>775767.13785430219</v>
      </c>
      <c r="M31" s="218"/>
      <c r="N31" s="218"/>
    </row>
    <row r="32" spans="2:15" ht="11.65" customHeight="1" x14ac:dyDescent="0.2">
      <c r="B32" s="116">
        <f>CAT!A27</f>
        <v>21</v>
      </c>
      <c r="C32" s="117">
        <f>CAT!B27</f>
        <v>775767.13785430219</v>
      </c>
      <c r="D32" s="117">
        <f>CAT!C27</f>
        <v>1314.9312860864138</v>
      </c>
      <c r="E32" s="118">
        <f t="shared" si="0"/>
        <v>774452.20656821574</v>
      </c>
      <c r="M32" s="219"/>
    </row>
    <row r="33" spans="2:13" ht="11.65" customHeight="1" x14ac:dyDescent="0.2">
      <c r="B33" s="116">
        <f>CAT!A28</f>
        <v>22</v>
      </c>
      <c r="C33" s="117">
        <f>CAT!B28</f>
        <v>774452.20656821574</v>
      </c>
      <c r="D33" s="117">
        <f>CAT!C28</f>
        <v>1325.3467107000279</v>
      </c>
      <c r="E33" s="118">
        <f t="shared" si="0"/>
        <v>773126.85985751566</v>
      </c>
      <c r="M33" s="219"/>
    </row>
    <row r="34" spans="2:13" ht="11.65" customHeight="1" x14ac:dyDescent="0.2">
      <c r="B34" s="116">
        <f>CAT!A29</f>
        <v>23</v>
      </c>
      <c r="C34" s="117">
        <f>CAT!B29</f>
        <v>773126.85985751566</v>
      </c>
      <c r="D34" s="117">
        <f>CAT!C29</f>
        <v>1335.8446347347381</v>
      </c>
      <c r="E34" s="118">
        <f t="shared" si="0"/>
        <v>771791.01522278087</v>
      </c>
      <c r="M34" s="219"/>
    </row>
    <row r="35" spans="2:13" ht="11.65" customHeight="1" x14ac:dyDescent="0.2">
      <c r="B35" s="119">
        <f>CAT!A30</f>
        <v>24</v>
      </c>
      <c r="C35" s="120">
        <f>CAT!B30</f>
        <v>771791.01522278087</v>
      </c>
      <c r="D35" s="120">
        <f>CAT!C30</f>
        <v>1346.4257116592908</v>
      </c>
      <c r="E35" s="121">
        <f t="shared" si="0"/>
        <v>770444.58951112162</v>
      </c>
      <c r="M35" s="219"/>
    </row>
    <row r="36" spans="2:13" ht="11.65" customHeight="1" x14ac:dyDescent="0.2">
      <c r="B36" s="112">
        <f>CAT!A31</f>
        <v>25</v>
      </c>
      <c r="C36" s="113">
        <f>CAT!B31</f>
        <v>770444.58951112162</v>
      </c>
      <c r="D36" s="114">
        <f>CAT!C31</f>
        <v>1357.0906001184867</v>
      </c>
      <c r="E36" s="115">
        <f t="shared" si="0"/>
        <v>769087.49891100312</v>
      </c>
      <c r="M36" s="219"/>
    </row>
    <row r="37" spans="2:13" ht="11.65" customHeight="1" x14ac:dyDescent="0.2">
      <c r="B37" s="116">
        <f>CAT!A32</f>
        <v>26</v>
      </c>
      <c r="C37" s="117">
        <f>CAT!B32</f>
        <v>769087.49891100312</v>
      </c>
      <c r="D37" s="117">
        <f>CAT!C32</f>
        <v>1367.839963974181</v>
      </c>
      <c r="E37" s="118">
        <f t="shared" si="0"/>
        <v>767719.65894702892</v>
      </c>
      <c r="M37" s="219"/>
    </row>
    <row r="38" spans="2:13" ht="11.65" customHeight="1" x14ac:dyDescent="0.2">
      <c r="B38" s="116">
        <f>CAT!A33</f>
        <v>27</v>
      </c>
      <c r="C38" s="117">
        <f>CAT!B33</f>
        <v>767719.65894702892</v>
      </c>
      <c r="D38" s="117">
        <f>CAT!C33</f>
        <v>1378.6744723466018</v>
      </c>
      <c r="E38" s="118">
        <f t="shared" si="0"/>
        <v>766340.98447468237</v>
      </c>
      <c r="M38" s="219"/>
    </row>
    <row r="39" spans="2:13" ht="11.65" customHeight="1" x14ac:dyDescent="0.2">
      <c r="B39" s="116">
        <f>CAT!A34</f>
        <v>28</v>
      </c>
      <c r="C39" s="117">
        <f>CAT!B34</f>
        <v>766340.98447468237</v>
      </c>
      <c r="D39" s="117">
        <f>CAT!C34</f>
        <v>1389.5947996560062</v>
      </c>
      <c r="E39" s="118">
        <f t="shared" si="0"/>
        <v>764951.38967502641</v>
      </c>
      <c r="M39" s="219"/>
    </row>
    <row r="40" spans="2:13" ht="11.65" customHeight="1" x14ac:dyDescent="0.2">
      <c r="B40" s="116">
        <f>CAT!A35</f>
        <v>29</v>
      </c>
      <c r="C40" s="117">
        <f>CAT!B35</f>
        <v>764951.38967502641</v>
      </c>
      <c r="D40" s="117">
        <f>CAT!C35</f>
        <v>1400.601625664659</v>
      </c>
      <c r="E40" s="118">
        <f t="shared" si="0"/>
        <v>763550.78804936178</v>
      </c>
      <c r="M40" s="219"/>
    </row>
    <row r="41" spans="2:13" ht="11.65" customHeight="1" x14ac:dyDescent="0.2">
      <c r="B41" s="116">
        <f>CAT!A36</f>
        <v>30</v>
      </c>
      <c r="C41" s="117">
        <f>CAT!B36</f>
        <v>763550.78804936178</v>
      </c>
      <c r="D41" s="117">
        <f>CAT!C36</f>
        <v>1411.695635519146</v>
      </c>
      <c r="E41" s="118">
        <f t="shared" si="0"/>
        <v>762139.09241384268</v>
      </c>
      <c r="M41" s="219"/>
    </row>
    <row r="42" spans="2:13" ht="11.65" customHeight="1" x14ac:dyDescent="0.2">
      <c r="B42" s="116">
        <f>CAT!A37</f>
        <v>31</v>
      </c>
      <c r="C42" s="117">
        <f>CAT!B37</f>
        <v>762139.09241384268</v>
      </c>
      <c r="D42" s="117">
        <f>CAT!C37</f>
        <v>1422.8775197930217</v>
      </c>
      <c r="E42" s="118">
        <f t="shared" si="0"/>
        <v>760716.21489404968</v>
      </c>
      <c r="M42" s="219"/>
    </row>
    <row r="43" spans="2:13" ht="11.65" customHeight="1" x14ac:dyDescent="0.2">
      <c r="B43" s="116">
        <f>CAT!A38</f>
        <v>32</v>
      </c>
      <c r="C43" s="117">
        <f>CAT!B38</f>
        <v>760716.21489404968</v>
      </c>
      <c r="D43" s="117">
        <f>CAT!C38</f>
        <v>1434.1479745298002</v>
      </c>
      <c r="E43" s="118">
        <f t="shared" si="0"/>
        <v>759282.06691951992</v>
      </c>
      <c r="M43" s="219"/>
    </row>
    <row r="44" spans="2:13" ht="11.65" customHeight="1" x14ac:dyDescent="0.2">
      <c r="B44" s="116">
        <f>CAT!A39</f>
        <v>33</v>
      </c>
      <c r="C44" s="117">
        <f>CAT!B39</f>
        <v>759282.06691951992</v>
      </c>
      <c r="D44" s="117">
        <f>CAT!C39</f>
        <v>1445.5077012862757</v>
      </c>
      <c r="E44" s="118">
        <f t="shared" si="0"/>
        <v>757836.55921823368</v>
      </c>
      <c r="M44" s="219"/>
    </row>
    <row r="45" spans="2:13" ht="11.65" customHeight="1" x14ac:dyDescent="0.2">
      <c r="B45" s="116">
        <f>CAT!A40</f>
        <v>34</v>
      </c>
      <c r="C45" s="117">
        <f>CAT!B40</f>
        <v>757836.55921823368</v>
      </c>
      <c r="D45" s="117">
        <f>CAT!C40</f>
        <v>1456.9574071761972</v>
      </c>
      <c r="E45" s="118">
        <f t="shared" si="0"/>
        <v>756379.60181105754</v>
      </c>
      <c r="M45" s="219"/>
    </row>
    <row r="46" spans="2:13" ht="11.65" customHeight="1" x14ac:dyDescent="0.2">
      <c r="B46" s="116">
        <f>CAT!A41</f>
        <v>35</v>
      </c>
      <c r="C46" s="117">
        <f>CAT!B41</f>
        <v>756379.60181105754</v>
      </c>
      <c r="D46" s="117">
        <f>CAT!C41</f>
        <v>1468.4978049142828</v>
      </c>
      <c r="E46" s="118">
        <f t="shared" si="0"/>
        <v>754911.10400614329</v>
      </c>
      <c r="M46" s="219"/>
    </row>
    <row r="47" spans="2:13" ht="11.65" customHeight="1" x14ac:dyDescent="0.2">
      <c r="B47" s="119">
        <f>CAT!A42</f>
        <v>36</v>
      </c>
      <c r="C47" s="120">
        <f>CAT!B42</f>
        <v>754911.10400614329</v>
      </c>
      <c r="D47" s="120">
        <f>CAT!C42</f>
        <v>1480.1296128605863</v>
      </c>
      <c r="E47" s="121">
        <f t="shared" si="0"/>
        <v>753430.97439328267</v>
      </c>
      <c r="M47" s="219"/>
    </row>
    <row r="48" spans="2:13" ht="11.65" customHeight="1" x14ac:dyDescent="0.2">
      <c r="B48" s="112">
        <f>CAT!A43</f>
        <v>37</v>
      </c>
      <c r="C48" s="113">
        <f>CAT!B43</f>
        <v>753430.97439328267</v>
      </c>
      <c r="D48" s="114">
        <f>CAT!C43</f>
        <v>1491.8535550652086</v>
      </c>
      <c r="E48" s="115">
        <f t="shared" si="0"/>
        <v>751939.12083821744</v>
      </c>
      <c r="M48" s="219"/>
    </row>
    <row r="49" spans="2:13" ht="11.65" customHeight="1" x14ac:dyDescent="0.2">
      <c r="B49" s="116">
        <f>CAT!A44</f>
        <v>38</v>
      </c>
      <c r="C49" s="117">
        <f>CAT!B44</f>
        <v>751939.12083821744</v>
      </c>
      <c r="D49" s="117">
        <f>CAT!C44</f>
        <v>1503.670361313375</v>
      </c>
      <c r="E49" s="118">
        <f t="shared" si="0"/>
        <v>750435.45047690405</v>
      </c>
      <c r="M49" s="219"/>
    </row>
    <row r="50" spans="2:13" ht="11.65" customHeight="1" x14ac:dyDescent="0.2">
      <c r="B50" s="116">
        <f>CAT!A45</f>
        <v>39</v>
      </c>
      <c r="C50" s="117">
        <f>CAT!B45</f>
        <v>750435.45047690405</v>
      </c>
      <c r="D50" s="117">
        <f>CAT!C45</f>
        <v>1515.5807671708535</v>
      </c>
      <c r="E50" s="118">
        <f t="shared" si="0"/>
        <v>748919.86970973318</v>
      </c>
      <c r="M50" s="219"/>
    </row>
    <row r="51" spans="2:13" ht="11.65" customHeight="1" x14ac:dyDescent="0.2">
      <c r="B51" s="116">
        <f>CAT!A46</f>
        <v>40</v>
      </c>
      <c r="C51" s="117">
        <f>CAT!B46</f>
        <v>748919.86970973318</v>
      </c>
      <c r="D51" s="117">
        <f>CAT!C46</f>
        <v>1527.5855140297508</v>
      </c>
      <c r="E51" s="118">
        <f t="shared" si="0"/>
        <v>747392.28419570345</v>
      </c>
      <c r="M51" s="219"/>
    </row>
    <row r="52" spans="2:13" ht="11.65" customHeight="1" x14ac:dyDescent="0.2">
      <c r="B52" s="116">
        <f>CAT!A47</f>
        <v>41</v>
      </c>
      <c r="C52" s="117">
        <f>CAT!B47</f>
        <v>747392.28419570345</v>
      </c>
      <c r="D52" s="117">
        <f>CAT!C47</f>
        <v>1539.6853491546563</v>
      </c>
      <c r="E52" s="118">
        <f t="shared" si="0"/>
        <v>745852.59884654882</v>
      </c>
      <c r="M52" s="219"/>
    </row>
    <row r="53" spans="2:13" ht="11.65" customHeight="1" x14ac:dyDescent="0.2">
      <c r="B53" s="116">
        <f>CAT!A48</f>
        <v>42</v>
      </c>
      <c r="C53" s="117">
        <f>CAT!B48</f>
        <v>745852.59884654882</v>
      </c>
      <c r="D53" s="117">
        <f>CAT!C48</f>
        <v>1551.8810257291607</v>
      </c>
      <c r="E53" s="118">
        <f t="shared" si="0"/>
        <v>744300.7178208197</v>
      </c>
    </row>
    <row r="54" spans="2:13" ht="11.65" customHeight="1" x14ac:dyDescent="0.2">
      <c r="B54" s="116">
        <f>CAT!A49</f>
        <v>43</v>
      </c>
      <c r="C54" s="117">
        <f>CAT!B49</f>
        <v>744300.7178208197</v>
      </c>
      <c r="D54" s="117">
        <f>CAT!C49</f>
        <v>1564.1733029027355</v>
      </c>
      <c r="E54" s="118">
        <f t="shared" si="0"/>
        <v>742736.54451791698</v>
      </c>
    </row>
    <row r="55" spans="2:13" ht="11.65" customHeight="1" x14ac:dyDescent="0.2">
      <c r="B55" s="116">
        <f>CAT!A50</f>
        <v>44</v>
      </c>
      <c r="C55" s="117">
        <f>CAT!B50</f>
        <v>742736.54451791698</v>
      </c>
      <c r="D55" s="117">
        <f>CAT!C50</f>
        <v>1576.5629458379944</v>
      </c>
      <c r="E55" s="118">
        <f t="shared" si="0"/>
        <v>741159.98157207901</v>
      </c>
    </row>
    <row r="56" spans="2:13" ht="11.65" customHeight="1" x14ac:dyDescent="0.2">
      <c r="B56" s="116">
        <f>CAT!A51</f>
        <v>45</v>
      </c>
      <c r="C56" s="117">
        <f>CAT!B51</f>
        <v>741159.98157207901</v>
      </c>
      <c r="D56" s="117">
        <f>CAT!C51</f>
        <v>1589.0507257583167</v>
      </c>
      <c r="E56" s="118">
        <f t="shared" si="0"/>
        <v>739570.9308463207</v>
      </c>
    </row>
    <row r="57" spans="2:13" ht="11.65" customHeight="1" x14ac:dyDescent="0.2">
      <c r="B57" s="116">
        <f>CAT!A52</f>
        <v>46</v>
      </c>
      <c r="C57" s="117">
        <f>CAT!B52</f>
        <v>739570.9308463207</v>
      </c>
      <c r="D57" s="117">
        <f>CAT!C52</f>
        <v>1601.6374199958564</v>
      </c>
      <c r="E57" s="118">
        <f t="shared" si="0"/>
        <v>737969.29342632485</v>
      </c>
    </row>
    <row r="58" spans="2:13" ht="11.65" customHeight="1" x14ac:dyDescent="0.2">
      <c r="B58" s="116">
        <f>CAT!A53</f>
        <v>47</v>
      </c>
      <c r="C58" s="117">
        <f>CAT!B53</f>
        <v>737969.29342632485</v>
      </c>
      <c r="D58" s="117">
        <f>CAT!C53</f>
        <v>1614.3238120399301</v>
      </c>
      <c r="E58" s="118">
        <f t="shared" si="0"/>
        <v>736354.96961428493</v>
      </c>
    </row>
    <row r="59" spans="2:13" ht="11.65" customHeight="1" x14ac:dyDescent="0.2">
      <c r="B59" s="119">
        <f>CAT!A54</f>
        <v>48</v>
      </c>
      <c r="C59" s="120">
        <f>CAT!B54</f>
        <v>736354.96961428493</v>
      </c>
      <c r="D59" s="120">
        <f>CAT!C54</f>
        <v>1627.1106915857854</v>
      </c>
      <c r="E59" s="121">
        <f t="shared" si="0"/>
        <v>734727.85892269912</v>
      </c>
    </row>
    <row r="60" spans="2:13" ht="11.65" customHeight="1" x14ac:dyDescent="0.2">
      <c r="B60" s="112">
        <f>CAT!A55</f>
        <v>49</v>
      </c>
      <c r="C60" s="113">
        <f>CAT!B55</f>
        <v>734727.85892269912</v>
      </c>
      <c r="D60" s="114">
        <f>CAT!C55</f>
        <v>1639.9988545837605</v>
      </c>
      <c r="E60" s="115">
        <f t="shared" si="0"/>
        <v>733087.86006811541</v>
      </c>
    </row>
    <row r="61" spans="2:13" ht="11.65" customHeight="1" x14ac:dyDescent="0.2">
      <c r="B61" s="116">
        <f>CAT!A56</f>
        <v>50</v>
      </c>
      <c r="C61" s="117">
        <f>CAT!B56</f>
        <v>733087.86006811541</v>
      </c>
      <c r="D61" s="117">
        <f>CAT!C56</f>
        <v>1652.9891032888227</v>
      </c>
      <c r="E61" s="118">
        <f t="shared" si="0"/>
        <v>731434.87096482655</v>
      </c>
    </row>
    <row r="62" spans="2:13" ht="11.65" customHeight="1" x14ac:dyDescent="0.2">
      <c r="B62" s="116">
        <f>CAT!A57</f>
        <v>51</v>
      </c>
      <c r="C62" s="117">
        <f>CAT!B57</f>
        <v>731434.87096482655</v>
      </c>
      <c r="D62" s="117">
        <f>CAT!C57</f>
        <v>1666.0822463105178</v>
      </c>
      <c r="E62" s="118">
        <f t="shared" si="0"/>
        <v>729768.78871851601</v>
      </c>
    </row>
    <row r="63" spans="2:13" ht="11.65" customHeight="1" x14ac:dyDescent="0.2">
      <c r="B63" s="116">
        <f>CAT!A58</f>
        <v>52</v>
      </c>
      <c r="C63" s="117">
        <f>CAT!B58</f>
        <v>729768.78871851601</v>
      </c>
      <c r="D63" s="117">
        <f>CAT!C58</f>
        <v>1679.2790986632945</v>
      </c>
      <c r="E63" s="118">
        <f t="shared" si="0"/>
        <v>728089.50961985276</v>
      </c>
    </row>
    <row r="64" spans="2:13" ht="11.65" customHeight="1" x14ac:dyDescent="0.2">
      <c r="B64" s="116">
        <f>CAT!A59</f>
        <v>53</v>
      </c>
      <c r="C64" s="117">
        <f>CAT!B59</f>
        <v>728089.50961985276</v>
      </c>
      <c r="D64" s="117">
        <f>CAT!C59</f>
        <v>1692.5804818172392</v>
      </c>
      <c r="E64" s="118">
        <f t="shared" si="0"/>
        <v>726396.92913803551</v>
      </c>
    </row>
    <row r="65" spans="2:5" ht="11.65" customHeight="1" x14ac:dyDescent="0.2">
      <c r="B65" s="116">
        <f>CAT!A60</f>
        <v>54</v>
      </c>
      <c r="C65" s="117">
        <f>CAT!B60</f>
        <v>726396.92913803551</v>
      </c>
      <c r="D65" s="117">
        <f>CAT!C60</f>
        <v>1705.9872237492154</v>
      </c>
      <c r="E65" s="118">
        <f t="shared" si="0"/>
        <v>724690.94191428635</v>
      </c>
    </row>
    <row r="66" spans="2:5" ht="11.65" customHeight="1" x14ac:dyDescent="0.2">
      <c r="B66" s="116">
        <f>CAT!A61</f>
        <v>55</v>
      </c>
      <c r="C66" s="117">
        <f>CAT!B61</f>
        <v>724690.94191428635</v>
      </c>
      <c r="D66" s="117">
        <f>CAT!C61</f>
        <v>1719.5001589943968</v>
      </c>
      <c r="E66" s="118">
        <f t="shared" si="0"/>
        <v>722971.44175529201</v>
      </c>
    </row>
    <row r="67" spans="2:5" ht="11.65" customHeight="1" x14ac:dyDescent="0.2">
      <c r="B67" s="116">
        <f>CAT!A62</f>
        <v>56</v>
      </c>
      <c r="C67" s="117">
        <f>CAT!B62</f>
        <v>722971.44175529201</v>
      </c>
      <c r="D67" s="117">
        <f>CAT!C62</f>
        <v>1733.1201286982177</v>
      </c>
      <c r="E67" s="118">
        <f t="shared" si="0"/>
        <v>721238.32162659382</v>
      </c>
    </row>
    <row r="68" spans="2:5" ht="11.65" customHeight="1" x14ac:dyDescent="0.2">
      <c r="B68" s="116">
        <f>CAT!A63</f>
        <v>57</v>
      </c>
      <c r="C68" s="117">
        <f>CAT!B63</f>
        <v>721238.32162659382</v>
      </c>
      <c r="D68" s="117">
        <f>CAT!C63</f>
        <v>1746.8479806687328</v>
      </c>
      <c r="E68" s="118">
        <f t="shared" si="0"/>
        <v>719491.47364592506</v>
      </c>
    </row>
    <row r="69" spans="2:5" ht="11.65" customHeight="1" x14ac:dyDescent="0.2">
      <c r="B69" s="116">
        <f>CAT!A64</f>
        <v>58</v>
      </c>
      <c r="C69" s="117">
        <f>CAT!B64</f>
        <v>719491.47364592506</v>
      </c>
      <c r="D69" s="117">
        <f>CAT!C64</f>
        <v>1760.6845694293897</v>
      </c>
      <c r="E69" s="118">
        <f t="shared" si="0"/>
        <v>717730.78907649568</v>
      </c>
    </row>
    <row r="70" spans="2:5" ht="11.65" customHeight="1" x14ac:dyDescent="0.2">
      <c r="B70" s="116">
        <f>CAT!A65</f>
        <v>59</v>
      </c>
      <c r="C70" s="117">
        <f>CAT!B65</f>
        <v>717730.78907649568</v>
      </c>
      <c r="D70" s="117">
        <f>CAT!C65</f>
        <v>1774.6307562722213</v>
      </c>
      <c r="E70" s="118">
        <f t="shared" si="0"/>
        <v>715956.15832022345</v>
      </c>
    </row>
    <row r="71" spans="2:5" ht="11.65" customHeight="1" x14ac:dyDescent="0.2">
      <c r="B71" s="119">
        <f>CAT!A66</f>
        <v>60</v>
      </c>
      <c r="C71" s="120">
        <f>CAT!B66</f>
        <v>715956.15832022345</v>
      </c>
      <c r="D71" s="120">
        <f>CAT!C66</f>
        <v>1788.6874093114584</v>
      </c>
      <c r="E71" s="121">
        <f t="shared" si="0"/>
        <v>714167.47091091203</v>
      </c>
    </row>
    <row r="72" spans="2:5" ht="11.65" customHeight="1" x14ac:dyDescent="0.2">
      <c r="B72" s="112">
        <f>CAT!A67</f>
        <v>61</v>
      </c>
      <c r="C72" s="113">
        <f>CAT!B67</f>
        <v>714167.47091091203</v>
      </c>
      <c r="D72" s="114">
        <f>CAT!C67</f>
        <v>1802.8554035375691</v>
      </c>
      <c r="E72" s="115">
        <f t="shared" si="0"/>
        <v>712364.61550737452</v>
      </c>
    </row>
    <row r="73" spans="2:5" ht="11.65" customHeight="1" x14ac:dyDescent="0.2">
      <c r="B73" s="116">
        <f>CAT!A68</f>
        <v>62</v>
      </c>
      <c r="C73" s="117">
        <f>CAT!B68</f>
        <v>712364.61550737452</v>
      </c>
      <c r="D73" s="117">
        <f>CAT!C68</f>
        <v>1817.1356208717225</v>
      </c>
      <c r="E73" s="118">
        <f t="shared" si="0"/>
        <v>710547.47988650284</v>
      </c>
    </row>
    <row r="74" spans="2:5" ht="11.65" customHeight="1" x14ac:dyDescent="0.2">
      <c r="B74" s="116">
        <f>CAT!A69</f>
        <v>63</v>
      </c>
      <c r="C74" s="117">
        <f>CAT!B69</f>
        <v>710547.47988650284</v>
      </c>
      <c r="D74" s="117">
        <f>CAT!C69</f>
        <v>1831.5289502206888</v>
      </c>
      <c r="E74" s="118">
        <f t="shared" si="0"/>
        <v>708715.95093628217</v>
      </c>
    </row>
    <row r="75" spans="2:5" ht="11.65" customHeight="1" x14ac:dyDescent="0.2">
      <c r="B75" s="116">
        <f>CAT!A70</f>
        <v>64</v>
      </c>
      <c r="C75" s="117">
        <f>CAT!B70</f>
        <v>708715.95093628217</v>
      </c>
      <c r="D75" s="117">
        <f>CAT!C70</f>
        <v>1846.0362875321707</v>
      </c>
      <c r="E75" s="118">
        <f t="shared" si="0"/>
        <v>706869.91464874998</v>
      </c>
    </row>
    <row r="76" spans="2:5" ht="11.65" customHeight="1" x14ac:dyDescent="0.2">
      <c r="B76" s="116">
        <f>CAT!A71</f>
        <v>65</v>
      </c>
      <c r="C76" s="117">
        <f>CAT!B71</f>
        <v>706869.91464874998</v>
      </c>
      <c r="D76" s="117">
        <f>CAT!C71</f>
        <v>1860.6585358505699</v>
      </c>
      <c r="E76" s="118">
        <f t="shared" si="0"/>
        <v>705009.2561128994</v>
      </c>
    </row>
    <row r="77" spans="2:5" ht="11.65" customHeight="1" x14ac:dyDescent="0.2">
      <c r="B77" s="116">
        <f>CAT!A72</f>
        <v>66</v>
      </c>
      <c r="C77" s="117">
        <f>CAT!B72</f>
        <v>705009.2561128994</v>
      </c>
      <c r="D77" s="117">
        <f>CAT!C72</f>
        <v>1875.3966053732047</v>
      </c>
      <c r="E77" s="118">
        <f t="shared" ref="E77:E140" si="1">IF(B77="","",C77-D77)</f>
        <v>703133.85950752615</v>
      </c>
    </row>
    <row r="78" spans="2:5" ht="11.65" customHeight="1" x14ac:dyDescent="0.2">
      <c r="B78" s="116">
        <f>CAT!A73</f>
        <v>67</v>
      </c>
      <c r="C78" s="117">
        <f>CAT!B73</f>
        <v>703133.85950752615</v>
      </c>
      <c r="D78" s="117">
        <f>CAT!C73</f>
        <v>1890.2514135069659</v>
      </c>
      <c r="E78" s="118">
        <f t="shared" si="1"/>
        <v>701243.60809401923</v>
      </c>
    </row>
    <row r="79" spans="2:5" ht="11.65" customHeight="1" x14ac:dyDescent="0.2">
      <c r="B79" s="116">
        <f>CAT!A74</f>
        <v>68</v>
      </c>
      <c r="C79" s="117">
        <f>CAT!B74</f>
        <v>701243.60809401923</v>
      </c>
      <c r="D79" s="117">
        <f>CAT!C74</f>
        <v>1905.223884925419</v>
      </c>
      <c r="E79" s="118">
        <f t="shared" si="1"/>
        <v>699338.38420909387</v>
      </c>
    </row>
    <row r="80" spans="2:5" ht="11.65" customHeight="1" x14ac:dyDescent="0.2">
      <c r="B80" s="116">
        <f>CAT!A75</f>
        <v>69</v>
      </c>
      <c r="C80" s="117">
        <f>CAT!B75</f>
        <v>699338.38420909387</v>
      </c>
      <c r="D80" s="117">
        <f>CAT!C75</f>
        <v>1920.3149516263702</v>
      </c>
      <c r="E80" s="118">
        <f t="shared" si="1"/>
        <v>697418.06925746752</v>
      </c>
    </row>
    <row r="81" spans="2:5" ht="11.65" customHeight="1" x14ac:dyDescent="0.2">
      <c r="B81" s="116">
        <f>CAT!A76</f>
        <v>70</v>
      </c>
      <c r="C81" s="117">
        <f>CAT!B76</f>
        <v>697418.06925746752</v>
      </c>
      <c r="D81" s="117">
        <f>CAT!C76</f>
        <v>1935.525552989875</v>
      </c>
      <c r="E81" s="118">
        <f t="shared" si="1"/>
        <v>695482.5437044776</v>
      </c>
    </row>
    <row r="82" spans="2:5" ht="11.65" customHeight="1" x14ac:dyDescent="0.2">
      <c r="B82" s="116">
        <f>CAT!A77</f>
        <v>71</v>
      </c>
      <c r="C82" s="117">
        <f>CAT!B77</f>
        <v>695482.5437044776</v>
      </c>
      <c r="D82" s="117">
        <f>CAT!C77</f>
        <v>1950.8566358367134</v>
      </c>
      <c r="E82" s="118">
        <f t="shared" si="1"/>
        <v>693531.68706864084</v>
      </c>
    </row>
    <row r="83" spans="2:5" ht="11.65" customHeight="1" x14ac:dyDescent="0.2">
      <c r="B83" s="119">
        <f>CAT!A78</f>
        <v>72</v>
      </c>
      <c r="C83" s="120">
        <f>CAT!B78</f>
        <v>693531.68706864084</v>
      </c>
      <c r="D83" s="120">
        <f>CAT!C78</f>
        <v>1966.3091544873278</v>
      </c>
      <c r="E83" s="121">
        <f t="shared" si="1"/>
        <v>691565.37791415351</v>
      </c>
    </row>
    <row r="84" spans="2:5" ht="11.65" customHeight="1" x14ac:dyDescent="0.2">
      <c r="B84" s="112">
        <f>CAT!A79</f>
        <v>73</v>
      </c>
      <c r="C84" s="113">
        <f>CAT!B79</f>
        <v>691565.37791415351</v>
      </c>
      <c r="D84" s="114">
        <f>CAT!C79</f>
        <v>1981.8840708212265</v>
      </c>
      <c r="E84" s="115">
        <f t="shared" si="1"/>
        <v>689583.49384333228</v>
      </c>
    </row>
    <row r="85" spans="2:5" ht="11.65" customHeight="1" x14ac:dyDescent="0.2">
      <c r="B85" s="116">
        <f>CAT!A80</f>
        <v>74</v>
      </c>
      <c r="C85" s="117">
        <f>CAT!B80</f>
        <v>689583.49384333228</v>
      </c>
      <c r="D85" s="117">
        <f>CAT!C80</f>
        <v>1997.5823543368606</v>
      </c>
      <c r="E85" s="118">
        <f t="shared" si="1"/>
        <v>687585.91148899542</v>
      </c>
    </row>
    <row r="86" spans="2:5" ht="11.65" customHeight="1" x14ac:dyDescent="0.2">
      <c r="B86" s="116">
        <f>CAT!A81</f>
        <v>75</v>
      </c>
      <c r="C86" s="117">
        <f>CAT!B81</f>
        <v>687585.91148899542</v>
      </c>
      <c r="D86" s="117">
        <f>CAT!C81</f>
        <v>2013.4049822119678</v>
      </c>
      <c r="E86" s="118">
        <f t="shared" si="1"/>
        <v>685572.50650678342</v>
      </c>
    </row>
    <row r="87" spans="2:5" ht="11.65" customHeight="1" x14ac:dyDescent="0.2">
      <c r="B87" s="116">
        <f>CAT!A82</f>
        <v>76</v>
      </c>
      <c r="C87" s="117">
        <f>CAT!B82</f>
        <v>685572.50650678342</v>
      </c>
      <c r="D87" s="117">
        <f>CAT!C82</f>
        <v>2029.3529393644048</v>
      </c>
      <c r="E87" s="118">
        <f t="shared" si="1"/>
        <v>683543.15356741904</v>
      </c>
    </row>
    <row r="88" spans="2:5" ht="11.65" customHeight="1" x14ac:dyDescent="0.2">
      <c r="B88" s="116">
        <f>CAT!A83</f>
        <v>77</v>
      </c>
      <c r="C88" s="117">
        <f>CAT!B83</f>
        <v>683543.15356741904</v>
      </c>
      <c r="D88" s="117">
        <f>CAT!C83</f>
        <v>2045.4272185134496</v>
      </c>
      <c r="E88" s="118">
        <f t="shared" si="1"/>
        <v>681497.72634890559</v>
      </c>
    </row>
    <row r="89" spans="2:5" ht="11.65" customHeight="1" x14ac:dyDescent="0.2">
      <c r="B89" s="116">
        <f>CAT!A84</f>
        <v>78</v>
      </c>
      <c r="C89" s="117">
        <f>CAT!B84</f>
        <v>681497.72634890559</v>
      </c>
      <c r="D89" s="117">
        <f>CAT!C84</f>
        <v>2061.6288202416035</v>
      </c>
      <c r="E89" s="118">
        <f t="shared" si="1"/>
        <v>679436.09752866393</v>
      </c>
    </row>
    <row r="90" spans="2:5" ht="11.65" customHeight="1" x14ac:dyDescent="0.2">
      <c r="B90" s="116">
        <f>CAT!A85</f>
        <v>79</v>
      </c>
      <c r="C90" s="117">
        <f>CAT!B85</f>
        <v>679436.09752866393</v>
      </c>
      <c r="D90" s="117">
        <f>CAT!C85</f>
        <v>2077.9587530568688</v>
      </c>
      <c r="E90" s="118">
        <f t="shared" si="1"/>
        <v>677358.13877560711</v>
      </c>
    </row>
    <row r="91" spans="2:5" ht="11.65" customHeight="1" x14ac:dyDescent="0.2">
      <c r="B91" s="116">
        <f>CAT!A86</f>
        <v>80</v>
      </c>
      <c r="C91" s="117">
        <f>CAT!B86</f>
        <v>677358.13877560711</v>
      </c>
      <c r="D91" s="117">
        <f>CAT!C86</f>
        <v>2094.4180334555267</v>
      </c>
      <c r="E91" s="118">
        <f t="shared" si="1"/>
        <v>675263.72074215161</v>
      </c>
    </row>
    <row r="92" spans="2:5" ht="11.65" customHeight="1" x14ac:dyDescent="0.2">
      <c r="B92" s="116">
        <f>CAT!A87</f>
        <v>81</v>
      </c>
      <c r="C92" s="117">
        <f>CAT!B87</f>
        <v>675263.72074215161</v>
      </c>
      <c r="D92" s="117">
        <f>CAT!C87</f>
        <v>2111.0076859854125</v>
      </c>
      <c r="E92" s="118">
        <f t="shared" si="1"/>
        <v>673152.71305616619</v>
      </c>
    </row>
    <row r="93" spans="2:5" ht="11.65" customHeight="1" x14ac:dyDescent="0.2">
      <c r="B93" s="116">
        <f>CAT!A88</f>
        <v>82</v>
      </c>
      <c r="C93" s="117">
        <f>CAT!B88</f>
        <v>673152.71305616619</v>
      </c>
      <c r="D93" s="117">
        <f>CAT!C88</f>
        <v>2127.7287433096935</v>
      </c>
      <c r="E93" s="118">
        <f t="shared" si="1"/>
        <v>671024.98431285645</v>
      </c>
    </row>
    <row r="94" spans="2:5" ht="11.65" customHeight="1" x14ac:dyDescent="0.2">
      <c r="B94" s="116">
        <f>CAT!A89</f>
        <v>83</v>
      </c>
      <c r="C94" s="117">
        <f>CAT!B89</f>
        <v>671024.98431285645</v>
      </c>
      <c r="D94" s="117">
        <f>CAT!C89</f>
        <v>2144.5822462711449</v>
      </c>
      <c r="E94" s="118">
        <f t="shared" si="1"/>
        <v>668880.40206658526</v>
      </c>
    </row>
    <row r="95" spans="2:5" ht="11.65" customHeight="1" x14ac:dyDescent="0.2">
      <c r="B95" s="119">
        <f>CAT!A90</f>
        <v>84</v>
      </c>
      <c r="C95" s="120">
        <f>CAT!B90</f>
        <v>668880.40206658526</v>
      </c>
      <c r="D95" s="120">
        <f>CAT!C90</f>
        <v>2161.569243956943</v>
      </c>
      <c r="E95" s="121">
        <f t="shared" si="1"/>
        <v>666718.83282262832</v>
      </c>
    </row>
    <row r="96" spans="2:5" ht="11.65" customHeight="1" x14ac:dyDescent="0.2">
      <c r="B96" s="112">
        <f>CAT!A91</f>
        <v>85</v>
      </c>
      <c r="C96" s="113">
        <f>CAT!B91</f>
        <v>666718.83282262832</v>
      </c>
      <c r="D96" s="114">
        <f>CAT!C91</f>
        <v>2178.6907937639653</v>
      </c>
      <c r="E96" s="115">
        <f t="shared" si="1"/>
        <v>664540.14202886436</v>
      </c>
    </row>
    <row r="97" spans="2:5" ht="11.65" customHeight="1" x14ac:dyDescent="0.2">
      <c r="B97" s="116">
        <f>CAT!A92</f>
        <v>86</v>
      </c>
      <c r="C97" s="117">
        <f>CAT!B92</f>
        <v>664540.14202886436</v>
      </c>
      <c r="D97" s="117">
        <f>CAT!C92</f>
        <v>2195.9479614646152</v>
      </c>
      <c r="E97" s="118">
        <f t="shared" si="1"/>
        <v>662344.19406739972</v>
      </c>
    </row>
    <row r="98" spans="2:5" ht="11.65" customHeight="1" x14ac:dyDescent="0.2">
      <c r="B98" s="116">
        <f>CAT!A93</f>
        <v>87</v>
      </c>
      <c r="C98" s="117">
        <f>CAT!B93</f>
        <v>662344.19406739972</v>
      </c>
      <c r="D98" s="117">
        <f>CAT!C93</f>
        <v>2213.3418212731585</v>
      </c>
      <c r="E98" s="118">
        <f t="shared" si="1"/>
        <v>660130.85224612651</v>
      </c>
    </row>
    <row r="99" spans="2:5" ht="11.65" customHeight="1" x14ac:dyDescent="0.2">
      <c r="B99" s="116">
        <f>CAT!A94</f>
        <v>88</v>
      </c>
      <c r="C99" s="117">
        <f>CAT!B94</f>
        <v>660130.85224612651</v>
      </c>
      <c r="D99" s="117">
        <f>CAT!C94</f>
        <v>2230.8734559125942</v>
      </c>
      <c r="E99" s="118">
        <f t="shared" si="1"/>
        <v>657899.97879021394</v>
      </c>
    </row>
    <row r="100" spans="2:5" ht="11.65" customHeight="1" x14ac:dyDescent="0.2">
      <c r="B100" s="116">
        <f>CAT!A95</f>
        <v>89</v>
      </c>
      <c r="C100" s="117">
        <f>CAT!B95</f>
        <v>657899.97879021394</v>
      </c>
      <c r="D100" s="117">
        <f>CAT!C95</f>
        <v>2248.5439566820496</v>
      </c>
      <c r="E100" s="118">
        <f t="shared" si="1"/>
        <v>655651.43483353185</v>
      </c>
    </row>
    <row r="101" spans="2:5" ht="11.65" customHeight="1" x14ac:dyDescent="0.2">
      <c r="B101" s="116">
        <f>CAT!A96</f>
        <v>90</v>
      </c>
      <c r="C101" s="117">
        <f>CAT!B96</f>
        <v>655651.43483353185</v>
      </c>
      <c r="D101" s="117">
        <f>CAT!C96</f>
        <v>2266.3544235247109</v>
      </c>
      <c r="E101" s="118">
        <f t="shared" si="1"/>
        <v>653385.08041000715</v>
      </c>
    </row>
    <row r="102" spans="2:5" ht="11.65" customHeight="1" x14ac:dyDescent="0.2">
      <c r="B102" s="116">
        <f>CAT!A97</f>
        <v>91</v>
      </c>
      <c r="C102" s="117">
        <f>CAT!B97</f>
        <v>653385.08041000715</v>
      </c>
      <c r="D102" s="117">
        <f>CAT!C97</f>
        <v>2284.3059650962914</v>
      </c>
      <c r="E102" s="118">
        <f t="shared" si="1"/>
        <v>651100.77444491081</v>
      </c>
    </row>
    <row r="103" spans="2:5" ht="11.65" customHeight="1" x14ac:dyDescent="0.2">
      <c r="B103" s="116">
        <f>CAT!A98</f>
        <v>92</v>
      </c>
      <c r="C103" s="117">
        <f>CAT!B98</f>
        <v>651100.77444491081</v>
      </c>
      <c r="D103" s="117">
        <f>CAT!C98</f>
        <v>2302.3996988340459</v>
      </c>
      <c r="E103" s="118">
        <f t="shared" si="1"/>
        <v>648798.37474607676</v>
      </c>
    </row>
    <row r="104" spans="2:5" ht="11.65" customHeight="1" x14ac:dyDescent="0.2">
      <c r="B104" s="116">
        <f>CAT!A99</f>
        <v>93</v>
      </c>
      <c r="C104" s="117">
        <f>CAT!B99</f>
        <v>648798.37474607676</v>
      </c>
      <c r="D104" s="117">
        <f>CAT!C99</f>
        <v>2320.6367510263217</v>
      </c>
      <c r="E104" s="118">
        <f t="shared" si="1"/>
        <v>646477.7379950505</v>
      </c>
    </row>
    <row r="105" spans="2:5" ht="11.65" customHeight="1" x14ac:dyDescent="0.2">
      <c r="B105" s="116">
        <f>CAT!A100</f>
        <v>94</v>
      </c>
      <c r="C105" s="117">
        <f>CAT!B100</f>
        <v>646477.7379950505</v>
      </c>
      <c r="D105" s="117">
        <f>CAT!C100</f>
        <v>2339.0182568826731</v>
      </c>
      <c r="E105" s="118">
        <f t="shared" si="1"/>
        <v>644138.71973816783</v>
      </c>
    </row>
    <row r="106" spans="2:5" ht="11.65" customHeight="1" x14ac:dyDescent="0.2">
      <c r="B106" s="116">
        <f>CAT!A101</f>
        <v>95</v>
      </c>
      <c r="C106" s="117">
        <f>CAT!B101</f>
        <v>644138.71973816783</v>
      </c>
      <c r="D106" s="117">
        <f>CAT!C101</f>
        <v>2357.545360604523</v>
      </c>
      <c r="E106" s="118">
        <f t="shared" si="1"/>
        <v>641781.17437756329</v>
      </c>
    </row>
    <row r="107" spans="2:5" ht="11.65" customHeight="1" x14ac:dyDescent="0.2">
      <c r="B107" s="119">
        <f>CAT!A102</f>
        <v>96</v>
      </c>
      <c r="C107" s="120">
        <f>CAT!B102</f>
        <v>641781.17437756329</v>
      </c>
      <c r="D107" s="120">
        <f>CAT!C102</f>
        <v>2376.2192154563872</v>
      </c>
      <c r="E107" s="121">
        <f t="shared" si="1"/>
        <v>639404.9551621069</v>
      </c>
    </row>
    <row r="108" spans="2:5" ht="11.65" customHeight="1" x14ac:dyDescent="0.2">
      <c r="B108" s="112">
        <f>CAT!A103</f>
        <v>97</v>
      </c>
      <c r="C108" s="113">
        <f>CAT!B103</f>
        <v>639404.9551621069</v>
      </c>
      <c r="D108" s="114">
        <f>CAT!C103</f>
        <v>2395.04098383766</v>
      </c>
      <c r="E108" s="115">
        <f t="shared" si="1"/>
        <v>637009.91417826922</v>
      </c>
    </row>
    <row r="109" spans="2:5" ht="11.65" customHeight="1" x14ac:dyDescent="0.2">
      <c r="B109" s="116">
        <f>CAT!A104</f>
        <v>98</v>
      </c>
      <c r="C109" s="117">
        <f>CAT!B104</f>
        <v>637009.91417826922</v>
      </c>
      <c r="D109" s="117">
        <f>CAT!C104</f>
        <v>2414.0118373549731</v>
      </c>
      <c r="E109" s="118">
        <f t="shared" si="1"/>
        <v>634595.90234091424</v>
      </c>
    </row>
    <row r="110" spans="2:5" ht="11.65" customHeight="1" x14ac:dyDescent="0.2">
      <c r="B110" s="116">
        <f>CAT!A105</f>
        <v>99</v>
      </c>
      <c r="C110" s="117">
        <f>CAT!B105</f>
        <v>634595.90234091424</v>
      </c>
      <c r="D110" s="117">
        <f>CAT!C105</f>
        <v>2433.1329568951251</v>
      </c>
      <c r="E110" s="118">
        <f t="shared" si="1"/>
        <v>632162.76938401908</v>
      </c>
    </row>
    <row r="111" spans="2:5" ht="11.65" customHeight="1" x14ac:dyDescent="0.2">
      <c r="B111" s="116">
        <f>CAT!A106</f>
        <v>100</v>
      </c>
      <c r="C111" s="117">
        <f>CAT!B106</f>
        <v>632162.76938401908</v>
      </c>
      <c r="D111" s="117">
        <f>CAT!C106</f>
        <v>2452.4055326985854</v>
      </c>
      <c r="E111" s="118">
        <f t="shared" si="1"/>
        <v>629710.36385132046</v>
      </c>
    </row>
    <row r="112" spans="2:5" ht="11.65" customHeight="1" x14ac:dyDescent="0.2">
      <c r="B112" s="116">
        <f>CAT!A107</f>
        <v>101</v>
      </c>
      <c r="C112" s="117">
        <f>CAT!B107</f>
        <v>629710.36385132046</v>
      </c>
      <c r="D112" s="117">
        <f>CAT!C107</f>
        <v>2471.8307644335873</v>
      </c>
      <c r="E112" s="118">
        <f t="shared" si="1"/>
        <v>627238.53308688686</v>
      </c>
    </row>
    <row r="113" spans="2:5" ht="11.65" customHeight="1" x14ac:dyDescent="0.2">
      <c r="B113" s="116">
        <f>CAT!A108</f>
        <v>102</v>
      </c>
      <c r="C113" s="117">
        <f>CAT!B108</f>
        <v>627238.53308688686</v>
      </c>
      <c r="D113" s="117">
        <f>CAT!C108</f>
        <v>2491.409861270803</v>
      </c>
      <c r="E113" s="118">
        <f t="shared" si="1"/>
        <v>624747.12322561606</v>
      </c>
    </row>
    <row r="114" spans="2:5" ht="11.65" customHeight="1" x14ac:dyDescent="0.2">
      <c r="B114" s="116">
        <f>CAT!A109</f>
        <v>103</v>
      </c>
      <c r="C114" s="117">
        <f>CAT!B109</f>
        <v>624747.12322561606</v>
      </c>
      <c r="D114" s="117">
        <f>CAT!C109</f>
        <v>2511.1440419586106</v>
      </c>
      <c r="E114" s="118">
        <f t="shared" si="1"/>
        <v>622235.97918365744</v>
      </c>
    </row>
    <row r="115" spans="2:5" ht="11.65" customHeight="1" x14ac:dyDescent="0.2">
      <c r="B115" s="116">
        <f>CAT!A110</f>
        <v>104</v>
      </c>
      <c r="C115" s="117">
        <f>CAT!B110</f>
        <v>622235.97918365744</v>
      </c>
      <c r="D115" s="117">
        <f>CAT!C110</f>
        <v>2531.0345348989604</v>
      </c>
      <c r="E115" s="118">
        <f t="shared" si="1"/>
        <v>619704.94464875851</v>
      </c>
    </row>
    <row r="116" spans="2:5" ht="11.65" customHeight="1" x14ac:dyDescent="0.2">
      <c r="B116" s="116">
        <f>CAT!A111</f>
        <v>105</v>
      </c>
      <c r="C116" s="117">
        <f>CAT!B111</f>
        <v>619704.94464875851</v>
      </c>
      <c r="D116" s="117">
        <f>CAT!C111</f>
        <v>2551.0825782238353</v>
      </c>
      <c r="E116" s="118">
        <f t="shared" si="1"/>
        <v>617153.86207053473</v>
      </c>
    </row>
    <row r="117" spans="2:5" ht="11.65" customHeight="1" x14ac:dyDescent="0.2">
      <c r="B117" s="116">
        <f>CAT!A112</f>
        <v>106</v>
      </c>
      <c r="C117" s="117">
        <f>CAT!B112</f>
        <v>617153.86207053473</v>
      </c>
      <c r="D117" s="117">
        <f>CAT!C112</f>
        <v>2571.2894198723261</v>
      </c>
      <c r="E117" s="118">
        <f t="shared" si="1"/>
        <v>614582.57265066239</v>
      </c>
    </row>
    <row r="118" spans="2:5" ht="11.65" customHeight="1" x14ac:dyDescent="0.2">
      <c r="B118" s="116">
        <f>CAT!A113</f>
        <v>107</v>
      </c>
      <c r="C118" s="117">
        <f>CAT!B113</f>
        <v>614582.57265066239</v>
      </c>
      <c r="D118" s="117">
        <f>CAT!C113</f>
        <v>2591.6563176683103</v>
      </c>
      <c r="E118" s="118">
        <f t="shared" si="1"/>
        <v>611990.91633299412</v>
      </c>
    </row>
    <row r="119" spans="2:5" ht="11.65" customHeight="1" x14ac:dyDescent="0.2">
      <c r="B119" s="119">
        <f>CAT!A114</f>
        <v>108</v>
      </c>
      <c r="C119" s="120">
        <f>CAT!B114</f>
        <v>611990.91633299412</v>
      </c>
      <c r="D119" s="120">
        <f>CAT!C114</f>
        <v>2612.1845393987478</v>
      </c>
      <c r="E119" s="121">
        <f t="shared" si="1"/>
        <v>609378.73179359536</v>
      </c>
    </row>
    <row r="120" spans="2:5" ht="11.65" customHeight="1" x14ac:dyDescent="0.2">
      <c r="B120" s="112">
        <f>CAT!A115</f>
        <v>109</v>
      </c>
      <c r="C120" s="113">
        <f>CAT!B115</f>
        <v>609378.73179359536</v>
      </c>
      <c r="D120" s="114">
        <f>CAT!C115</f>
        <v>2632.8753628925988</v>
      </c>
      <c r="E120" s="115">
        <f t="shared" si="1"/>
        <v>606745.85643070273</v>
      </c>
    </row>
    <row r="121" spans="2:5" ht="11.65" customHeight="1" x14ac:dyDescent="0.2">
      <c r="B121" s="116">
        <f>CAT!A116</f>
        <v>110</v>
      </c>
      <c r="C121" s="117">
        <f>CAT!B116</f>
        <v>606745.85643070273</v>
      </c>
      <c r="D121" s="117">
        <f>CAT!C116</f>
        <v>2653.7300761003644</v>
      </c>
      <c r="E121" s="118">
        <f t="shared" si="1"/>
        <v>604092.1263546024</v>
      </c>
    </row>
    <row r="122" spans="2:5" ht="11.65" customHeight="1" x14ac:dyDescent="0.2">
      <c r="B122" s="116">
        <f>CAT!A117</f>
        <v>111</v>
      </c>
      <c r="C122" s="117">
        <f>CAT!B117</f>
        <v>604092.1263546024</v>
      </c>
      <c r="D122" s="117">
        <f>CAT!C117</f>
        <v>2674.7499771742578</v>
      </c>
      <c r="E122" s="118">
        <f t="shared" si="1"/>
        <v>601417.37637742818</v>
      </c>
    </row>
    <row r="123" spans="2:5" ht="11.65" customHeight="1" x14ac:dyDescent="0.2">
      <c r="B123" s="116">
        <f>CAT!A118</f>
        <v>112</v>
      </c>
      <c r="C123" s="117">
        <f>CAT!B118</f>
        <v>601417.37637742818</v>
      </c>
      <c r="D123" s="117">
        <f>CAT!C118</f>
        <v>2695.9363745490127</v>
      </c>
      <c r="E123" s="118">
        <f t="shared" si="1"/>
        <v>598721.44000287913</v>
      </c>
    </row>
    <row r="124" spans="2:5" ht="11.65" customHeight="1" x14ac:dyDescent="0.2">
      <c r="B124" s="116">
        <f>CAT!A119</f>
        <v>113</v>
      </c>
      <c r="C124" s="117">
        <f>CAT!B119</f>
        <v>598721.44000287913</v>
      </c>
      <c r="D124" s="117">
        <f>CAT!C119</f>
        <v>2717.2905870233299</v>
      </c>
      <c r="E124" s="118">
        <f t="shared" si="1"/>
        <v>596004.14941585576</v>
      </c>
    </row>
    <row r="125" spans="2:5" ht="11.65" customHeight="1" x14ac:dyDescent="0.2">
      <c r="B125" s="116">
        <f>CAT!A120</f>
        <v>114</v>
      </c>
      <c r="C125" s="117">
        <f>CAT!B120</f>
        <v>596004.14941585576</v>
      </c>
      <c r="D125" s="117">
        <f>CAT!C120</f>
        <v>2738.8139438419657</v>
      </c>
      <c r="E125" s="118">
        <f t="shared" si="1"/>
        <v>593265.3354720138</v>
      </c>
    </row>
    <row r="126" spans="2:5" ht="11.65" customHeight="1" x14ac:dyDescent="0.2">
      <c r="B126" s="116">
        <f>CAT!A121</f>
        <v>115</v>
      </c>
      <c r="C126" s="117">
        <f>CAT!B121</f>
        <v>593265.3354720138</v>
      </c>
      <c r="D126" s="117">
        <f>CAT!C121</f>
        <v>2760.5077847784778</v>
      </c>
      <c r="E126" s="118">
        <f t="shared" si="1"/>
        <v>590504.82768723532</v>
      </c>
    </row>
    <row r="127" spans="2:5" ht="11.65" customHeight="1" x14ac:dyDescent="0.2">
      <c r="B127" s="116">
        <f>CAT!A122</f>
        <v>116</v>
      </c>
      <c r="C127" s="117">
        <f>CAT!B122</f>
        <v>590504.82768723532</v>
      </c>
      <c r="D127" s="117">
        <f>CAT!C122</f>
        <v>2782.3734602186205</v>
      </c>
      <c r="E127" s="118">
        <f t="shared" si="1"/>
        <v>587722.45422701666</v>
      </c>
    </row>
    <row r="128" spans="2:5" ht="11.65" customHeight="1" x14ac:dyDescent="0.2">
      <c r="B128" s="116">
        <f>CAT!A123</f>
        <v>117</v>
      </c>
      <c r="C128" s="117">
        <f>CAT!B123</f>
        <v>587722.45422701666</v>
      </c>
      <c r="D128" s="117">
        <f>CAT!C123</f>
        <v>2804.4123312444062</v>
      </c>
      <c r="E128" s="118">
        <f t="shared" si="1"/>
        <v>584918.04189577221</v>
      </c>
    </row>
    <row r="129" spans="2:5" ht="11.65" customHeight="1" x14ac:dyDescent="0.2">
      <c r="B129" s="116">
        <f>CAT!A124</f>
        <v>118</v>
      </c>
      <c r="C129" s="117">
        <f>CAT!B124</f>
        <v>584918.04189577221</v>
      </c>
      <c r="D129" s="117">
        <f>CAT!C124</f>
        <v>2826.625769718823</v>
      </c>
      <c r="E129" s="118">
        <f t="shared" si="1"/>
        <v>582091.41612605343</v>
      </c>
    </row>
    <row r="130" spans="2:5" ht="11.65" customHeight="1" x14ac:dyDescent="0.2">
      <c r="B130" s="116">
        <f>CAT!A125</f>
        <v>119</v>
      </c>
      <c r="C130" s="117">
        <f>CAT!B125</f>
        <v>582091.41612605343</v>
      </c>
      <c r="D130" s="117">
        <f>CAT!C125</f>
        <v>2849.0151583712359</v>
      </c>
      <c r="E130" s="118">
        <f t="shared" si="1"/>
        <v>579242.40096768225</v>
      </c>
    </row>
    <row r="131" spans="2:5" ht="11.65" customHeight="1" x14ac:dyDescent="0.2">
      <c r="B131" s="119">
        <f>CAT!A126</f>
        <v>120</v>
      </c>
      <c r="C131" s="120">
        <f>CAT!B126</f>
        <v>579242.40096768225</v>
      </c>
      <c r="D131" s="120">
        <f>CAT!C126</f>
        <v>2871.5818908834535</v>
      </c>
      <c r="E131" s="121">
        <f t="shared" si="1"/>
        <v>576370.81907679874</v>
      </c>
    </row>
    <row r="132" spans="2:5" ht="11.65" customHeight="1" x14ac:dyDescent="0.2">
      <c r="B132" s="112">
        <f>CAT!A127</f>
        <v>121</v>
      </c>
      <c r="C132" s="113">
        <f>CAT!B127</f>
        <v>576370.81907679874</v>
      </c>
      <c r="D132" s="114">
        <f>CAT!C127</f>
        <v>2894.3273719764875</v>
      </c>
      <c r="E132" s="115">
        <f t="shared" si="1"/>
        <v>573476.49170482229</v>
      </c>
    </row>
    <row r="133" spans="2:5" ht="11.65" customHeight="1" x14ac:dyDescent="0.2">
      <c r="B133" s="116">
        <f>CAT!A128</f>
        <v>122</v>
      </c>
      <c r="C133" s="117">
        <f>CAT!B128</f>
        <v>573476.49170482229</v>
      </c>
      <c r="D133" s="117">
        <f>CAT!C128</f>
        <v>2917.2530174979829</v>
      </c>
      <c r="E133" s="118">
        <f t="shared" si="1"/>
        <v>570559.23868732434</v>
      </c>
    </row>
    <row r="134" spans="2:5" ht="11.65" customHeight="1" x14ac:dyDescent="0.2">
      <c r="B134" s="116">
        <f>CAT!A129</f>
        <v>123</v>
      </c>
      <c r="C134" s="117">
        <f>CAT!B129</f>
        <v>570559.23868732434</v>
      </c>
      <c r="D134" s="117">
        <f>CAT!C129</f>
        <v>2940.3602545103595</v>
      </c>
      <c r="E134" s="118">
        <f t="shared" si="1"/>
        <v>567618.87843281403</v>
      </c>
    </row>
    <row r="135" spans="2:5" ht="11.65" customHeight="1" x14ac:dyDescent="0.2">
      <c r="B135" s="116">
        <f>CAT!A130</f>
        <v>124</v>
      </c>
      <c r="C135" s="117">
        <f>CAT!B130</f>
        <v>567618.87843281403</v>
      </c>
      <c r="D135" s="117">
        <f>CAT!C130</f>
        <v>2963.6505213796408</v>
      </c>
      <c r="E135" s="118">
        <f t="shared" si="1"/>
        <v>564655.22791143437</v>
      </c>
    </row>
    <row r="136" spans="2:5" ht="11.65" customHeight="1" x14ac:dyDescent="0.2">
      <c r="B136" s="116">
        <f>CAT!A131</f>
        <v>125</v>
      </c>
      <c r="C136" s="117">
        <f>CAT!B131</f>
        <v>564655.22791143437</v>
      </c>
      <c r="D136" s="117">
        <f>CAT!C131</f>
        <v>2987.1252678649871</v>
      </c>
      <c r="E136" s="118">
        <f t="shared" si="1"/>
        <v>561668.10264356935</v>
      </c>
    </row>
    <row r="137" spans="2:5" ht="11.65" customHeight="1" x14ac:dyDescent="0.2">
      <c r="B137" s="116">
        <f>CAT!A132</f>
        <v>126</v>
      </c>
      <c r="C137" s="117">
        <f>CAT!B132</f>
        <v>561668.10264356935</v>
      </c>
      <c r="D137" s="117">
        <f>CAT!C132</f>
        <v>3010.7859552089385</v>
      </c>
      <c r="E137" s="118">
        <f t="shared" si="1"/>
        <v>558657.31668836041</v>
      </c>
    </row>
    <row r="138" spans="2:5" ht="11.65" customHeight="1" x14ac:dyDescent="0.2">
      <c r="B138" s="116">
        <f>CAT!A133</f>
        <v>127</v>
      </c>
      <c r="C138" s="117">
        <f>CAT!B133</f>
        <v>558657.31668836041</v>
      </c>
      <c r="D138" s="117">
        <f>CAT!C133</f>
        <v>3034.6340562283758</v>
      </c>
      <c r="E138" s="118">
        <f t="shared" si="1"/>
        <v>555622.68263213208</v>
      </c>
    </row>
    <row r="139" spans="2:5" ht="11.65" customHeight="1" x14ac:dyDescent="0.2">
      <c r="B139" s="116">
        <f>CAT!A134</f>
        <v>128</v>
      </c>
      <c r="C139" s="117">
        <f>CAT!B134</f>
        <v>555622.68263213208</v>
      </c>
      <c r="D139" s="117">
        <f>CAT!C134</f>
        <v>3058.6710554061983</v>
      </c>
      <c r="E139" s="118">
        <f t="shared" si="1"/>
        <v>552564.01157672587</v>
      </c>
    </row>
    <row r="140" spans="2:5" ht="11.65" customHeight="1" x14ac:dyDescent="0.2">
      <c r="B140" s="116">
        <f>CAT!A135</f>
        <v>129</v>
      </c>
      <c r="C140" s="117">
        <f>CAT!B135</f>
        <v>552564.01157672587</v>
      </c>
      <c r="D140" s="117">
        <f>CAT!C135</f>
        <v>3082.8984489837312</v>
      </c>
      <c r="E140" s="118">
        <f t="shared" si="1"/>
        <v>549481.1131277422</v>
      </c>
    </row>
    <row r="141" spans="2:5" ht="11.65" customHeight="1" x14ac:dyDescent="0.2">
      <c r="B141" s="116">
        <f>CAT!A136</f>
        <v>130</v>
      </c>
      <c r="C141" s="117">
        <f>CAT!B136</f>
        <v>549481.1131277422</v>
      </c>
      <c r="D141" s="117">
        <f>CAT!C136</f>
        <v>3107.3177450538587</v>
      </c>
      <c r="E141" s="118">
        <f t="shared" ref="E141:E204" si="2">IF(B141="","",C141-D141)</f>
        <v>546373.79538268829</v>
      </c>
    </row>
    <row r="142" spans="2:5" ht="11.65" customHeight="1" x14ac:dyDescent="0.2">
      <c r="B142" s="116">
        <f>CAT!A137</f>
        <v>131</v>
      </c>
      <c r="C142" s="117">
        <f>CAT!B137</f>
        <v>546373.79538268829</v>
      </c>
      <c r="D142" s="117">
        <f>CAT!C137</f>
        <v>3131.9304636549041</v>
      </c>
      <c r="E142" s="118">
        <f t="shared" si="2"/>
        <v>543241.86491903337</v>
      </c>
    </row>
    <row r="143" spans="2:5" ht="11.65" customHeight="1" x14ac:dyDescent="0.2">
      <c r="B143" s="119">
        <f>CAT!A138</f>
        <v>132</v>
      </c>
      <c r="C143" s="120">
        <f>CAT!B138</f>
        <v>543241.86491903337</v>
      </c>
      <c r="D143" s="120">
        <f>CAT!C138</f>
        <v>3156.7381368652404</v>
      </c>
      <c r="E143" s="121">
        <f t="shared" si="2"/>
        <v>540085.12678216817</v>
      </c>
    </row>
    <row r="144" spans="2:5" ht="11.65" customHeight="1" x14ac:dyDescent="0.2">
      <c r="B144" s="112">
        <f>CAT!A139</f>
        <v>133</v>
      </c>
      <c r="C144" s="113">
        <f>CAT!B139</f>
        <v>540085.12678216817</v>
      </c>
      <c r="D144" s="114">
        <f>CAT!C139</f>
        <v>3181.7423088986679</v>
      </c>
      <c r="E144" s="115">
        <f t="shared" si="2"/>
        <v>536903.38447326946</v>
      </c>
    </row>
    <row r="145" spans="2:5" ht="11.65" customHeight="1" x14ac:dyDescent="0.2">
      <c r="B145" s="116">
        <f>CAT!A140</f>
        <v>134</v>
      </c>
      <c r="C145" s="117">
        <f>CAT!B140</f>
        <v>536903.38447326946</v>
      </c>
      <c r="D145" s="117">
        <f>CAT!C140</f>
        <v>3206.9445362005317</v>
      </c>
      <c r="E145" s="118">
        <f t="shared" si="2"/>
        <v>533696.43993706896</v>
      </c>
    </row>
    <row r="146" spans="2:5" ht="11.65" customHeight="1" x14ac:dyDescent="0.2">
      <c r="B146" s="116">
        <f>CAT!A141</f>
        <v>135</v>
      </c>
      <c r="C146" s="117">
        <f>CAT!B141</f>
        <v>533696.43993706896</v>
      </c>
      <c r="D146" s="117">
        <f>CAT!C141</f>
        <v>3232.346387544605</v>
      </c>
      <c r="E146" s="118">
        <f t="shared" si="2"/>
        <v>530464.09354952432</v>
      </c>
    </row>
    <row r="147" spans="2:5" ht="11.65" customHeight="1" x14ac:dyDescent="0.2">
      <c r="B147" s="116">
        <f>CAT!A142</f>
        <v>136</v>
      </c>
      <c r="C147" s="117">
        <f>CAT!B142</f>
        <v>530464.09354952432</v>
      </c>
      <c r="D147" s="117">
        <f>CAT!C142</f>
        <v>3257.949444130747</v>
      </c>
      <c r="E147" s="118">
        <f t="shared" si="2"/>
        <v>527206.14410539356</v>
      </c>
    </row>
    <row r="148" spans="2:5" ht="11.65" customHeight="1" x14ac:dyDescent="0.2">
      <c r="B148" s="116">
        <f>CAT!A143</f>
        <v>137</v>
      </c>
      <c r="C148" s="117">
        <f>CAT!B143</f>
        <v>527206.14410539356</v>
      </c>
      <c r="D148" s="117">
        <f>CAT!C143</f>
        <v>3283.7552996833247</v>
      </c>
      <c r="E148" s="118">
        <f t="shared" si="2"/>
        <v>523922.38880571024</v>
      </c>
    </row>
    <row r="149" spans="2:5" ht="11.65" customHeight="1" x14ac:dyDescent="0.2">
      <c r="B149" s="116">
        <f>CAT!A144</f>
        <v>138</v>
      </c>
      <c r="C149" s="117">
        <f>CAT!B144</f>
        <v>523922.38880571024</v>
      </c>
      <c r="D149" s="117">
        <f>CAT!C144</f>
        <v>3309.765560550416</v>
      </c>
      <c r="E149" s="118">
        <f t="shared" si="2"/>
        <v>520612.6232451598</v>
      </c>
    </row>
    <row r="150" spans="2:5" ht="11.65" customHeight="1" x14ac:dyDescent="0.2">
      <c r="B150" s="116">
        <f>CAT!A145</f>
        <v>139</v>
      </c>
      <c r="C150" s="117">
        <f>CAT!B145</f>
        <v>520612.6232451598</v>
      </c>
      <c r="D150" s="117">
        <f>CAT!C145</f>
        <v>3335.9818458038071</v>
      </c>
      <c r="E150" s="118">
        <f t="shared" si="2"/>
        <v>517276.64139935601</v>
      </c>
    </row>
    <row r="151" spans="2:5" ht="11.65" customHeight="1" x14ac:dyDescent="0.2">
      <c r="B151" s="116">
        <f>CAT!A146</f>
        <v>140</v>
      </c>
      <c r="C151" s="117">
        <f>CAT!B146</f>
        <v>517276.64139935601</v>
      </c>
      <c r="D151" s="117">
        <f>CAT!C146</f>
        <v>3362.4057873397696</v>
      </c>
      <c r="E151" s="118">
        <f t="shared" si="2"/>
        <v>513914.23561201623</v>
      </c>
    </row>
    <row r="152" spans="2:5" ht="11.65" customHeight="1" x14ac:dyDescent="0.2">
      <c r="B152" s="116">
        <f>CAT!A147</f>
        <v>141</v>
      </c>
      <c r="C152" s="117">
        <f>CAT!B147</f>
        <v>513914.23561201623</v>
      </c>
      <c r="D152" s="117">
        <f>CAT!C147</f>
        <v>3389.039029980645</v>
      </c>
      <c r="E152" s="118">
        <f t="shared" si="2"/>
        <v>510525.19658203557</v>
      </c>
    </row>
    <row r="153" spans="2:5" ht="11.65" customHeight="1" x14ac:dyDescent="0.2">
      <c r="B153" s="116">
        <f>CAT!A148</f>
        <v>142</v>
      </c>
      <c r="C153" s="117">
        <f>CAT!B148</f>
        <v>510525.19658203557</v>
      </c>
      <c r="D153" s="117">
        <f>CAT!C148</f>
        <v>3415.8832315772293</v>
      </c>
      <c r="E153" s="118">
        <f t="shared" si="2"/>
        <v>507109.31335045834</v>
      </c>
    </row>
    <row r="154" spans="2:5" ht="11.65" customHeight="1" x14ac:dyDescent="0.2">
      <c r="B154" s="116">
        <f>CAT!A149</f>
        <v>143</v>
      </c>
      <c r="C154" s="117">
        <f>CAT!B149</f>
        <v>507109.31335045834</v>
      </c>
      <c r="D154" s="117">
        <f>CAT!C149</f>
        <v>3442.9400631119715</v>
      </c>
      <c r="E154" s="118">
        <f t="shared" si="2"/>
        <v>503666.37328734639</v>
      </c>
    </row>
    <row r="155" spans="2:5" ht="11.65" customHeight="1" x14ac:dyDescent="0.2">
      <c r="B155" s="119">
        <f>CAT!A150</f>
        <v>144</v>
      </c>
      <c r="C155" s="120">
        <f>CAT!B150</f>
        <v>503666.37328734639</v>
      </c>
      <c r="D155" s="120">
        <f>CAT!C150</f>
        <v>3470.2112088029853</v>
      </c>
      <c r="E155" s="121">
        <f t="shared" si="2"/>
        <v>500196.16207854339</v>
      </c>
    </row>
    <row r="156" spans="2:5" ht="11.65" customHeight="1" x14ac:dyDescent="0.2">
      <c r="B156" s="112">
        <f>CAT!A151</f>
        <v>145</v>
      </c>
      <c r="C156" s="113">
        <f>CAT!B151</f>
        <v>500196.16207854339</v>
      </c>
      <c r="D156" s="114">
        <f>CAT!C151</f>
        <v>3497.6983662088905</v>
      </c>
      <c r="E156" s="115">
        <f t="shared" si="2"/>
        <v>496698.46371233452</v>
      </c>
    </row>
    <row r="157" spans="2:5" ht="11.65" customHeight="1" x14ac:dyDescent="0.2">
      <c r="B157" s="116">
        <f>CAT!A152</f>
        <v>146</v>
      </c>
      <c r="C157" s="117">
        <f>CAT!B152</f>
        <v>496698.46371233452</v>
      </c>
      <c r="D157" s="117">
        <f>CAT!C152</f>
        <v>3525.4032463344793</v>
      </c>
      <c r="E157" s="118">
        <f t="shared" si="2"/>
        <v>493173.06046600005</v>
      </c>
    </row>
    <row r="158" spans="2:5" ht="11.65" customHeight="1" x14ac:dyDescent="0.2">
      <c r="B158" s="116">
        <f>CAT!A153</f>
        <v>147</v>
      </c>
      <c r="C158" s="117">
        <f>CAT!B153</f>
        <v>493173.06046600005</v>
      </c>
      <c r="D158" s="117">
        <f>CAT!C153</f>
        <v>3553.3275737372228</v>
      </c>
      <c r="E158" s="118">
        <f t="shared" si="2"/>
        <v>489619.73289226281</v>
      </c>
    </row>
    <row r="159" spans="2:5" ht="11.65" customHeight="1" x14ac:dyDescent="0.2">
      <c r="B159" s="116">
        <f>CAT!A154</f>
        <v>148</v>
      </c>
      <c r="C159" s="117">
        <f>CAT!B154</f>
        <v>489619.73289226281</v>
      </c>
      <c r="D159" s="117">
        <f>CAT!C154</f>
        <v>3581.4730866346204</v>
      </c>
      <c r="E159" s="118">
        <f t="shared" si="2"/>
        <v>486038.25980562821</v>
      </c>
    </row>
    <row r="160" spans="2:5" ht="11.65" customHeight="1" x14ac:dyDescent="0.2">
      <c r="B160" s="116">
        <f>CAT!A155</f>
        <v>149</v>
      </c>
      <c r="C160" s="117">
        <f>CAT!B155</f>
        <v>486038.25980562821</v>
      </c>
      <c r="D160" s="117">
        <f>CAT!C155</f>
        <v>3609.8415370123989</v>
      </c>
      <c r="E160" s="118">
        <f t="shared" si="2"/>
        <v>482428.41826861579</v>
      </c>
    </row>
    <row r="161" spans="2:5" ht="11.65" customHeight="1" x14ac:dyDescent="0.2">
      <c r="B161" s="116">
        <f>CAT!A156</f>
        <v>150</v>
      </c>
      <c r="C161" s="117">
        <f>CAT!B156</f>
        <v>482428.41826861579</v>
      </c>
      <c r="D161" s="117">
        <f>CAT!C156</f>
        <v>3638.4346907335703</v>
      </c>
      <c r="E161" s="118">
        <f t="shared" si="2"/>
        <v>478789.98357788223</v>
      </c>
    </row>
    <row r="162" spans="2:5" ht="11.65" customHeight="1" x14ac:dyDescent="0.2">
      <c r="B162" s="116">
        <f>CAT!A157</f>
        <v>151</v>
      </c>
      <c r="C162" s="117">
        <f>CAT!B157</f>
        <v>478789.98357788223</v>
      </c>
      <c r="D162" s="117">
        <f>CAT!C157</f>
        <v>3667.2543276483498</v>
      </c>
      <c r="E162" s="118">
        <f t="shared" si="2"/>
        <v>475122.72925023385</v>
      </c>
    </row>
    <row r="163" spans="2:5" ht="11.65" customHeight="1" x14ac:dyDescent="0.2">
      <c r="B163" s="116">
        <f>CAT!A158</f>
        <v>152</v>
      </c>
      <c r="C163" s="117">
        <f>CAT!B158</f>
        <v>475122.72925023385</v>
      </c>
      <c r="D163" s="117">
        <f>CAT!C158</f>
        <v>3696.3022417049497</v>
      </c>
      <c r="E163" s="118">
        <f t="shared" si="2"/>
        <v>471426.4270085289</v>
      </c>
    </row>
    <row r="164" spans="2:5" ht="11.65" customHeight="1" x14ac:dyDescent="0.2">
      <c r="B164" s="116">
        <f>CAT!A159</f>
        <v>153</v>
      </c>
      <c r="C164" s="117">
        <f>CAT!B159</f>
        <v>471426.4270085289</v>
      </c>
      <c r="D164" s="117">
        <f>CAT!C159</f>
        <v>3725.5802410612455</v>
      </c>
      <c r="E164" s="118">
        <f t="shared" si="2"/>
        <v>467700.84676746768</v>
      </c>
    </row>
    <row r="165" spans="2:5" ht="11.65" customHeight="1" x14ac:dyDescent="0.2">
      <c r="B165" s="116">
        <f>CAT!A160</f>
        <v>154</v>
      </c>
      <c r="C165" s="117">
        <f>CAT!B160</f>
        <v>467700.84676746768</v>
      </c>
      <c r="D165" s="117">
        <f>CAT!C160</f>
        <v>3755.090148197331</v>
      </c>
      <c r="E165" s="118">
        <f t="shared" si="2"/>
        <v>463945.75661927037</v>
      </c>
    </row>
    <row r="166" spans="2:5" ht="11.65" customHeight="1" x14ac:dyDescent="0.2">
      <c r="B166" s="116">
        <f>CAT!A161</f>
        <v>155</v>
      </c>
      <c r="C166" s="117">
        <f>CAT!B161</f>
        <v>463945.75661927037</v>
      </c>
      <c r="D166" s="117">
        <f>CAT!C161</f>
        <v>3784.8338000289632</v>
      </c>
      <c r="E166" s="118">
        <f t="shared" si="2"/>
        <v>460160.92281924142</v>
      </c>
    </row>
    <row r="167" spans="2:5" ht="11.65" customHeight="1" x14ac:dyDescent="0.2">
      <c r="B167" s="119">
        <f>CAT!A162</f>
        <v>156</v>
      </c>
      <c r="C167" s="120">
        <f>CAT!B162</f>
        <v>460160.92281924142</v>
      </c>
      <c r="D167" s="120">
        <f>CAT!C162</f>
        <v>3814.8130480219038</v>
      </c>
      <c r="E167" s="121">
        <f t="shared" si="2"/>
        <v>456346.10977121949</v>
      </c>
    </row>
    <row r="168" spans="2:5" ht="11.65" customHeight="1" x14ac:dyDescent="0.2">
      <c r="B168" s="112">
        <f>CAT!A163</f>
        <v>157</v>
      </c>
      <c r="C168" s="113">
        <f>CAT!B163</f>
        <v>456346.10977121949</v>
      </c>
      <c r="D168" s="114">
        <f>CAT!C163</f>
        <v>3845.0297583071692</v>
      </c>
      <c r="E168" s="115">
        <f t="shared" si="2"/>
        <v>452501.08001291234</v>
      </c>
    </row>
    <row r="169" spans="2:5" ht="11.65" customHeight="1" x14ac:dyDescent="0.2">
      <c r="B169" s="116">
        <f>CAT!A164</f>
        <v>158</v>
      </c>
      <c r="C169" s="117">
        <f>CAT!B164</f>
        <v>452501.08001291234</v>
      </c>
      <c r="D169" s="117">
        <f>CAT!C164</f>
        <v>3875.4858117971912</v>
      </c>
      <c r="E169" s="118">
        <f t="shared" si="2"/>
        <v>448625.59420111513</v>
      </c>
    </row>
    <row r="170" spans="2:5" ht="11.65" customHeight="1" x14ac:dyDescent="0.2">
      <c r="B170" s="116">
        <f>CAT!A165</f>
        <v>159</v>
      </c>
      <c r="C170" s="117">
        <f>CAT!B165</f>
        <v>448625.59420111513</v>
      </c>
      <c r="D170" s="117">
        <f>CAT!C165</f>
        <v>3906.1831043029024</v>
      </c>
      <c r="E170" s="118">
        <f t="shared" si="2"/>
        <v>444719.41109681223</v>
      </c>
    </row>
    <row r="171" spans="2:5" ht="11.65" customHeight="1" x14ac:dyDescent="0.2">
      <c r="B171" s="116">
        <f>CAT!A166</f>
        <v>160</v>
      </c>
      <c r="C171" s="117">
        <f>CAT!B166</f>
        <v>444719.41109681223</v>
      </c>
      <c r="D171" s="117">
        <f>CAT!C166</f>
        <v>3937.1235466517405</v>
      </c>
      <c r="E171" s="118">
        <f t="shared" si="2"/>
        <v>440782.28755016049</v>
      </c>
    </row>
    <row r="172" spans="2:5" ht="11.65" customHeight="1" x14ac:dyDescent="0.2">
      <c r="B172" s="116">
        <f>CAT!A167</f>
        <v>161</v>
      </c>
      <c r="C172" s="117">
        <f>CAT!B167</f>
        <v>440782.28755016049</v>
      </c>
      <c r="D172" s="117">
        <f>CAT!C167</f>
        <v>3968.3090648065972</v>
      </c>
      <c r="E172" s="118">
        <f t="shared" si="2"/>
        <v>436813.97848535387</v>
      </c>
    </row>
    <row r="173" spans="2:5" ht="11.65" customHeight="1" x14ac:dyDescent="0.2">
      <c r="B173" s="116">
        <f>CAT!A168</f>
        <v>162</v>
      </c>
      <c r="C173" s="117">
        <f>CAT!B168</f>
        <v>436813.97848535387</v>
      </c>
      <c r="D173" s="117">
        <f>CAT!C168</f>
        <v>3999.7415999857012</v>
      </c>
      <c r="E173" s="118">
        <f t="shared" si="2"/>
        <v>432814.23688536818</v>
      </c>
    </row>
    <row r="174" spans="2:5" ht="11.65" customHeight="1" x14ac:dyDescent="0.2">
      <c r="B174" s="116">
        <f>CAT!A169</f>
        <v>163</v>
      </c>
      <c r="C174" s="117">
        <f>CAT!B169</f>
        <v>432814.23688536818</v>
      </c>
      <c r="D174" s="117">
        <f>CAT!C169</f>
        <v>4031.4231087834542</v>
      </c>
      <c r="E174" s="118">
        <f t="shared" si="2"/>
        <v>428782.81377658475</v>
      </c>
    </row>
    <row r="175" spans="2:5" ht="11.65" customHeight="1" x14ac:dyDescent="0.2">
      <c r="B175" s="116">
        <f>CAT!A170</f>
        <v>164</v>
      </c>
      <c r="C175" s="117">
        <f>CAT!B170</f>
        <v>428782.81377658475</v>
      </c>
      <c r="D175" s="117">
        <f>CAT!C170</f>
        <v>4063.3555632922271</v>
      </c>
      <c r="E175" s="118">
        <f t="shared" si="2"/>
        <v>424719.45821329253</v>
      </c>
    </row>
    <row r="176" spans="2:5" ht="11.65" customHeight="1" x14ac:dyDescent="0.2">
      <c r="B176" s="116">
        <f>CAT!A171</f>
        <v>165</v>
      </c>
      <c r="C176" s="117">
        <f>CAT!B171</f>
        <v>424719.45821329253</v>
      </c>
      <c r="D176" s="117">
        <f>CAT!C171</f>
        <v>4095.5409512251131</v>
      </c>
      <c r="E176" s="118">
        <f t="shared" si="2"/>
        <v>420623.91726206744</v>
      </c>
    </row>
    <row r="177" spans="2:5" ht="11.65" customHeight="1" x14ac:dyDescent="0.2">
      <c r="B177" s="116">
        <f>CAT!A172</f>
        <v>166</v>
      </c>
      <c r="C177" s="117">
        <f>CAT!B172</f>
        <v>420623.91726206744</v>
      </c>
      <c r="D177" s="117">
        <f>CAT!C172</f>
        <v>4127.9812760396617</v>
      </c>
      <c r="E177" s="118">
        <f t="shared" si="2"/>
        <v>416495.93598602776</v>
      </c>
    </row>
    <row r="178" spans="2:5" ht="11.65" customHeight="1" x14ac:dyDescent="0.2">
      <c r="B178" s="116">
        <f>CAT!A173</f>
        <v>167</v>
      </c>
      <c r="C178" s="117">
        <f>CAT!B173</f>
        <v>416495.93598602776</v>
      </c>
      <c r="D178" s="117">
        <f>CAT!C173</f>
        <v>4160.6785570625852</v>
      </c>
      <c r="E178" s="118">
        <f t="shared" si="2"/>
        <v>412335.25742896518</v>
      </c>
    </row>
    <row r="179" spans="2:5" ht="11.65" customHeight="1" x14ac:dyDescent="0.2">
      <c r="B179" s="119">
        <f>CAT!A174</f>
        <v>168</v>
      </c>
      <c r="C179" s="120">
        <f>CAT!B174</f>
        <v>412335.25742896518</v>
      </c>
      <c r="D179" s="120">
        <f>CAT!C174</f>
        <v>4193.6348296154611</v>
      </c>
      <c r="E179" s="121">
        <f t="shared" si="2"/>
        <v>408141.62259934971</v>
      </c>
    </row>
    <row r="180" spans="2:5" ht="11.65" customHeight="1" x14ac:dyDescent="0.2">
      <c r="B180" s="112">
        <f>CAT!A175</f>
        <v>169</v>
      </c>
      <c r="C180" s="113">
        <f>CAT!B175</f>
        <v>408141.62259934971</v>
      </c>
      <c r="D180" s="114">
        <f>CAT!C175</f>
        <v>4226.8521451414199</v>
      </c>
      <c r="E180" s="115">
        <f t="shared" si="2"/>
        <v>403914.77045420831</v>
      </c>
    </row>
    <row r="181" spans="2:5" ht="11.65" customHeight="1" x14ac:dyDescent="0.2">
      <c r="B181" s="116">
        <f>CAT!A176</f>
        <v>170</v>
      </c>
      <c r="C181" s="117">
        <f>CAT!B176</f>
        <v>403914.77045420831</v>
      </c>
      <c r="D181" s="117">
        <f>CAT!C176</f>
        <v>4260.3325713328459</v>
      </c>
      <c r="E181" s="118">
        <f t="shared" si="2"/>
        <v>399654.43788287544</v>
      </c>
    </row>
    <row r="182" spans="2:5" ht="11.65" customHeight="1" x14ac:dyDescent="0.2">
      <c r="B182" s="116">
        <f>CAT!A177</f>
        <v>171</v>
      </c>
      <c r="C182" s="117">
        <f>CAT!B177</f>
        <v>399654.43788287544</v>
      </c>
      <c r="D182" s="117">
        <f>CAT!C177</f>
        <v>4294.0781922600881</v>
      </c>
      <c r="E182" s="118">
        <f t="shared" si="2"/>
        <v>395360.35969061533</v>
      </c>
    </row>
    <row r="183" spans="2:5" ht="11.65" customHeight="1" x14ac:dyDescent="0.2">
      <c r="B183" s="116">
        <f>CAT!A178</f>
        <v>172</v>
      </c>
      <c r="C183" s="117">
        <f>CAT!B178</f>
        <v>395360.35969061533</v>
      </c>
      <c r="D183" s="117">
        <f>CAT!C178</f>
        <v>4328.0911085011812</v>
      </c>
      <c r="E183" s="118">
        <f t="shared" si="2"/>
        <v>391032.26858211413</v>
      </c>
    </row>
    <row r="184" spans="2:5" ht="11.65" customHeight="1" x14ac:dyDescent="0.2">
      <c r="B184" s="116">
        <f>CAT!A179</f>
        <v>173</v>
      </c>
      <c r="C184" s="117">
        <f>CAT!B179</f>
        <v>391032.26858211413</v>
      </c>
      <c r="D184" s="117">
        <f>CAT!C179</f>
        <v>4362.3734372726067</v>
      </c>
      <c r="E184" s="118">
        <f t="shared" si="2"/>
        <v>386669.89514484152</v>
      </c>
    </row>
    <row r="185" spans="2:5" ht="11.65" customHeight="1" x14ac:dyDescent="0.2">
      <c r="B185" s="116">
        <f>CAT!A180</f>
        <v>174</v>
      </c>
      <c r="C185" s="117">
        <f>CAT!B180</f>
        <v>386669.89514484152</v>
      </c>
      <c r="D185" s="117">
        <f>CAT!C180</f>
        <v>4396.9273125610835</v>
      </c>
      <c r="E185" s="118">
        <f t="shared" si="2"/>
        <v>382272.96783228044</v>
      </c>
    </row>
    <row r="186" spans="2:5" ht="11.65" customHeight="1" x14ac:dyDescent="0.2">
      <c r="B186" s="116">
        <f>CAT!A181</f>
        <v>175</v>
      </c>
      <c r="C186" s="117">
        <f>CAT!B181</f>
        <v>382272.96783228044</v>
      </c>
      <c r="D186" s="117">
        <f>CAT!C181</f>
        <v>4431.7548852564014</v>
      </c>
      <c r="E186" s="118">
        <f t="shared" si="2"/>
        <v>377841.21294702403</v>
      </c>
    </row>
    <row r="187" spans="2:5" ht="11.65" customHeight="1" x14ac:dyDescent="0.2">
      <c r="B187" s="116">
        <f>CAT!A182</f>
        <v>176</v>
      </c>
      <c r="C187" s="117">
        <f>CAT!B182</f>
        <v>377841.21294702403</v>
      </c>
      <c r="D187" s="117">
        <f>CAT!C182</f>
        <v>4466.8583232853071</v>
      </c>
      <c r="E187" s="118">
        <f t="shared" si="2"/>
        <v>373374.35462373873</v>
      </c>
    </row>
    <row r="188" spans="2:5" ht="11.65" customHeight="1" x14ac:dyDescent="0.2">
      <c r="B188" s="116">
        <f>CAT!A183</f>
        <v>177</v>
      </c>
      <c r="C188" s="117">
        <f>CAT!B183</f>
        <v>373374.35462373873</v>
      </c>
      <c r="D188" s="117">
        <f>CAT!C183</f>
        <v>4502.2398117464581</v>
      </c>
      <c r="E188" s="118">
        <f t="shared" si="2"/>
        <v>368872.11481199227</v>
      </c>
    </row>
    <row r="189" spans="2:5" ht="11.65" customHeight="1" x14ac:dyDescent="0.2">
      <c r="B189" s="116">
        <f>CAT!A184</f>
        <v>178</v>
      </c>
      <c r="C189" s="117">
        <f>CAT!B184</f>
        <v>368872.11481199227</v>
      </c>
      <c r="D189" s="117">
        <f>CAT!C184</f>
        <v>4537.9015530464349</v>
      </c>
      <c r="E189" s="118">
        <f t="shared" si="2"/>
        <v>364334.21325894585</v>
      </c>
    </row>
    <row r="190" spans="2:5" ht="11.65" customHeight="1" x14ac:dyDescent="0.2">
      <c r="B190" s="116">
        <f>CAT!A185</f>
        <v>179</v>
      </c>
      <c r="C190" s="117">
        <f>CAT!B185</f>
        <v>364334.21325894585</v>
      </c>
      <c r="D190" s="117">
        <f>CAT!C185</f>
        <v>4573.8457670368316</v>
      </c>
      <c r="E190" s="118">
        <f t="shared" si="2"/>
        <v>359760.36749190901</v>
      </c>
    </row>
    <row r="191" spans="2:5" ht="11.65" customHeight="1" x14ac:dyDescent="0.2">
      <c r="B191" s="119">
        <f>CAT!A186</f>
        <v>180</v>
      </c>
      <c r="C191" s="120">
        <f>CAT!B186</f>
        <v>359760.36749190901</v>
      </c>
      <c r="D191" s="120">
        <f>CAT!C186</f>
        <v>4610.0746911524457</v>
      </c>
      <c r="E191" s="121">
        <f t="shared" si="2"/>
        <v>355150.29280075658</v>
      </c>
    </row>
    <row r="192" spans="2:5" ht="11.65" customHeight="1" x14ac:dyDescent="0.2">
      <c r="B192" s="112">
        <f>CAT!A187</f>
        <v>181</v>
      </c>
      <c r="C192" s="113">
        <f>CAT!B187</f>
        <v>355150.29280075658</v>
      </c>
      <c r="D192" s="114">
        <f>CAT!C187</f>
        <v>4646.5905805505427</v>
      </c>
      <c r="E192" s="115">
        <f t="shared" si="2"/>
        <v>350503.70222020603</v>
      </c>
    </row>
    <row r="193" spans="2:5" ht="11.65" customHeight="1" x14ac:dyDescent="0.2">
      <c r="B193" s="116">
        <f>CAT!A188</f>
        <v>182</v>
      </c>
      <c r="C193" s="117">
        <f>CAT!B188</f>
        <v>350503.70222020603</v>
      </c>
      <c r="D193" s="117">
        <f>CAT!C188</f>
        <v>4683.3957082512406</v>
      </c>
      <c r="E193" s="118">
        <f t="shared" si="2"/>
        <v>345820.30651195481</v>
      </c>
    </row>
    <row r="194" spans="2:5" ht="11.65" customHeight="1" x14ac:dyDescent="0.2">
      <c r="B194" s="116">
        <f>CAT!A189</f>
        <v>183</v>
      </c>
      <c r="C194" s="117">
        <f>CAT!B189</f>
        <v>345820.30651195481</v>
      </c>
      <c r="D194" s="117">
        <f>CAT!C189</f>
        <v>4720.4923652789985</v>
      </c>
      <c r="E194" s="118">
        <f t="shared" si="2"/>
        <v>341099.81414667581</v>
      </c>
    </row>
    <row r="195" spans="2:5" ht="11.65" customHeight="1" x14ac:dyDescent="0.2">
      <c r="B195" s="116">
        <f>CAT!A190</f>
        <v>184</v>
      </c>
      <c r="C195" s="117">
        <f>CAT!B190</f>
        <v>341099.81414667581</v>
      </c>
      <c r="D195" s="117">
        <f>CAT!C190</f>
        <v>4757.8828608052208</v>
      </c>
      <c r="E195" s="118">
        <f t="shared" si="2"/>
        <v>336341.93128587061</v>
      </c>
    </row>
    <row r="196" spans="2:5" ht="11.65" customHeight="1" x14ac:dyDescent="0.2">
      <c r="B196" s="116">
        <f>CAT!A191</f>
        <v>185</v>
      </c>
      <c r="C196" s="117">
        <f>CAT!B191</f>
        <v>336341.93128587061</v>
      </c>
      <c r="D196" s="117">
        <f>CAT!C191</f>
        <v>4795.5695222920076</v>
      </c>
      <c r="E196" s="118">
        <f t="shared" si="2"/>
        <v>331546.36176357861</v>
      </c>
    </row>
    <row r="197" spans="2:5" ht="11.65" customHeight="1" x14ac:dyDescent="0.2">
      <c r="B197" s="116">
        <f>CAT!A192</f>
        <v>186</v>
      </c>
      <c r="C197" s="117">
        <f>CAT!B192</f>
        <v>331546.36176357861</v>
      </c>
      <c r="D197" s="117">
        <f>CAT!C192</f>
        <v>4833.5546956370254</v>
      </c>
      <c r="E197" s="118">
        <f t="shared" si="2"/>
        <v>326712.80706794158</v>
      </c>
    </row>
    <row r="198" spans="2:5" ht="11.65" customHeight="1" x14ac:dyDescent="0.2">
      <c r="B198" s="116">
        <f>CAT!A193</f>
        <v>187</v>
      </c>
      <c r="C198" s="117">
        <f>CAT!B193</f>
        <v>326712.80706794158</v>
      </c>
      <c r="D198" s="117">
        <f>CAT!C193</f>
        <v>4871.8407453195323</v>
      </c>
      <c r="E198" s="118">
        <f t="shared" si="2"/>
        <v>321840.96632262203</v>
      </c>
    </row>
    <row r="199" spans="2:5" ht="11.65" customHeight="1" x14ac:dyDescent="0.2">
      <c r="B199" s="116">
        <f>CAT!A194</f>
        <v>188</v>
      </c>
      <c r="C199" s="117">
        <f>CAT!B194</f>
        <v>321840.96632262203</v>
      </c>
      <c r="D199" s="117">
        <f>CAT!C194</f>
        <v>4910.4300545475708</v>
      </c>
      <c r="E199" s="118">
        <f t="shared" si="2"/>
        <v>316930.53626807447</v>
      </c>
    </row>
    <row r="200" spans="2:5" ht="11.65" customHeight="1" x14ac:dyDescent="0.2">
      <c r="B200" s="116">
        <f>CAT!A195</f>
        <v>189</v>
      </c>
      <c r="C200" s="117">
        <f>CAT!B195</f>
        <v>316930.53626807447</v>
      </c>
      <c r="D200" s="117">
        <f>CAT!C195</f>
        <v>4949.3250254063023</v>
      </c>
      <c r="E200" s="118">
        <f t="shared" si="2"/>
        <v>311981.21124266816</v>
      </c>
    </row>
    <row r="201" spans="2:5" ht="11.65" customHeight="1" x14ac:dyDescent="0.2">
      <c r="B201" s="116">
        <f>CAT!A196</f>
        <v>190</v>
      </c>
      <c r="C201" s="117">
        <f>CAT!B196</f>
        <v>311981.21124266816</v>
      </c>
      <c r="D201" s="117">
        <f>CAT!C196</f>
        <v>4988.5280790075431</v>
      </c>
      <c r="E201" s="118">
        <f t="shared" si="2"/>
        <v>306992.68316366064</v>
      </c>
    </row>
    <row r="202" spans="2:5" ht="11.65" customHeight="1" x14ac:dyDescent="0.2">
      <c r="B202" s="116">
        <f>CAT!A197</f>
        <v>191</v>
      </c>
      <c r="C202" s="117">
        <f>CAT!B197</f>
        <v>306992.68316366064</v>
      </c>
      <c r="D202" s="117">
        <f>CAT!C197</f>
        <v>5028.0416556404634</v>
      </c>
      <c r="E202" s="118">
        <f t="shared" si="2"/>
        <v>301964.64150802017</v>
      </c>
    </row>
    <row r="203" spans="2:5" ht="11.65" customHeight="1" x14ac:dyDescent="0.2">
      <c r="B203" s="119">
        <f>CAT!A198</f>
        <v>192</v>
      </c>
      <c r="C203" s="120">
        <f>CAT!B198</f>
        <v>301964.64150802017</v>
      </c>
      <c r="D203" s="120">
        <f>CAT!C198</f>
        <v>5067.8682149234974</v>
      </c>
      <c r="E203" s="121">
        <f t="shared" si="2"/>
        <v>296896.77329309669</v>
      </c>
    </row>
    <row r="204" spans="2:5" ht="11.65" customHeight="1" x14ac:dyDescent="0.2">
      <c r="B204" s="112">
        <f>CAT!A199</f>
        <v>193</v>
      </c>
      <c r="C204" s="113">
        <f>CAT!B199</f>
        <v>296896.77329309669</v>
      </c>
      <c r="D204" s="114">
        <f>CAT!C199</f>
        <v>5108.0102359574375</v>
      </c>
      <c r="E204" s="115">
        <f t="shared" si="2"/>
        <v>291788.76305713924</v>
      </c>
    </row>
    <row r="205" spans="2:5" ht="11.65" customHeight="1" x14ac:dyDescent="0.2">
      <c r="B205" s="116">
        <f>CAT!A200</f>
        <v>194</v>
      </c>
      <c r="C205" s="117">
        <f>CAT!B200</f>
        <v>291788.76305713924</v>
      </c>
      <c r="D205" s="117">
        <f>CAT!C200</f>
        <v>5148.470217479764</v>
      </c>
      <c r="E205" s="118">
        <f t="shared" ref="E205:E251" si="3">IF(B205="","",C205-D205)</f>
        <v>286640.29283965949</v>
      </c>
    </row>
    <row r="206" spans="2:5" ht="11.65" customHeight="1" x14ac:dyDescent="0.2">
      <c r="B206" s="116">
        <f>CAT!A201</f>
        <v>195</v>
      </c>
      <c r="C206" s="117">
        <f>CAT!B201</f>
        <v>286640.29283965949</v>
      </c>
      <c r="D206" s="117">
        <f>CAT!C201</f>
        <v>5189.2506780201747</v>
      </c>
      <c r="E206" s="118">
        <f t="shared" si="3"/>
        <v>281451.04216163931</v>
      </c>
    </row>
    <row r="207" spans="2:5" ht="11.65" customHeight="1" x14ac:dyDescent="0.2">
      <c r="B207" s="116">
        <f>CAT!A202</f>
        <v>196</v>
      </c>
      <c r="C207" s="117">
        <f>CAT!B202</f>
        <v>281451.04216163931</v>
      </c>
      <c r="D207" s="117">
        <f>CAT!C202</f>
        <v>5230.3541560573631</v>
      </c>
      <c r="E207" s="118">
        <f t="shared" si="3"/>
        <v>276220.68800558196</v>
      </c>
    </row>
    <row r="208" spans="2:5" ht="11.65" customHeight="1" x14ac:dyDescent="0.2">
      <c r="B208" s="116">
        <f>CAT!A203</f>
        <v>197</v>
      </c>
      <c r="C208" s="117">
        <f>CAT!B203</f>
        <v>276220.68800558196</v>
      </c>
      <c r="D208" s="117">
        <f>CAT!C203</f>
        <v>5271.7832101770327</v>
      </c>
      <c r="E208" s="118">
        <f t="shared" si="3"/>
        <v>270948.90479540493</v>
      </c>
    </row>
    <row r="209" spans="2:5" ht="11.65" customHeight="1" x14ac:dyDescent="0.2">
      <c r="B209" s="116">
        <f>CAT!A204</f>
        <v>198</v>
      </c>
      <c r="C209" s="117">
        <f>CAT!B204</f>
        <v>270948.90479540493</v>
      </c>
      <c r="D209" s="117">
        <f>CAT!C204</f>
        <v>5313.5404192311544</v>
      </c>
      <c r="E209" s="118">
        <f t="shared" si="3"/>
        <v>265635.36437617376</v>
      </c>
    </row>
    <row r="210" spans="2:5" ht="11.65" customHeight="1" x14ac:dyDescent="0.2">
      <c r="B210" s="116">
        <f>CAT!A205</f>
        <v>199</v>
      </c>
      <c r="C210" s="117">
        <f>CAT!B205</f>
        <v>265635.36437617376</v>
      </c>
      <c r="D210" s="117">
        <f>CAT!C205</f>
        <v>5355.6283824985039</v>
      </c>
      <c r="E210" s="118">
        <f t="shared" si="3"/>
        <v>260279.73599367525</v>
      </c>
    </row>
    <row r="211" spans="2:5" ht="11.65" customHeight="1" x14ac:dyDescent="0.2">
      <c r="B211" s="116">
        <f>CAT!A206</f>
        <v>200</v>
      </c>
      <c r="C211" s="117">
        <f>CAT!B206</f>
        <v>260279.73599367525</v>
      </c>
      <c r="D211" s="117">
        <f>CAT!C206</f>
        <v>5398.0497198464545</v>
      </c>
      <c r="E211" s="118">
        <f t="shared" si="3"/>
        <v>254881.68627382879</v>
      </c>
    </row>
    <row r="212" spans="2:5" ht="11.65" customHeight="1" x14ac:dyDescent="0.2">
      <c r="B212" s="116">
        <f>CAT!A207</f>
        <v>201</v>
      </c>
      <c r="C212" s="117">
        <f>CAT!B207</f>
        <v>254881.68627382879</v>
      </c>
      <c r="D212" s="117">
        <f>CAT!C207</f>
        <v>5440.8070718940562</v>
      </c>
      <c r="E212" s="118">
        <f t="shared" si="3"/>
        <v>249440.87920193473</v>
      </c>
    </row>
    <row r="213" spans="2:5" ht="11.65" customHeight="1" x14ac:dyDescent="0.2">
      <c r="B213" s="116">
        <f>CAT!A208</f>
        <v>202</v>
      </c>
      <c r="C213" s="117">
        <f>CAT!B208</f>
        <v>249440.87920193473</v>
      </c>
      <c r="D213" s="117">
        <f>CAT!C208</f>
        <v>5483.9031001764106</v>
      </c>
      <c r="E213" s="118">
        <f t="shared" si="3"/>
        <v>243956.97610175831</v>
      </c>
    </row>
    <row r="214" spans="2:5" ht="11.65" customHeight="1" x14ac:dyDescent="0.2">
      <c r="B214" s="116">
        <f>CAT!A209</f>
        <v>203</v>
      </c>
      <c r="C214" s="117">
        <f>CAT!B209</f>
        <v>243956.97610175831</v>
      </c>
      <c r="D214" s="117">
        <f>CAT!C209</f>
        <v>5527.3404873103409</v>
      </c>
      <c r="E214" s="118">
        <f t="shared" si="3"/>
        <v>238429.63561444797</v>
      </c>
    </row>
    <row r="215" spans="2:5" ht="11.65" customHeight="1" x14ac:dyDescent="0.2">
      <c r="B215" s="119">
        <f>CAT!A210</f>
        <v>204</v>
      </c>
      <c r="C215" s="120">
        <f>CAT!B210</f>
        <v>238429.63561444797</v>
      </c>
      <c r="D215" s="120">
        <f>CAT!C210</f>
        <v>5571.1219371613834</v>
      </c>
      <c r="E215" s="121">
        <f t="shared" si="3"/>
        <v>232858.5136772866</v>
      </c>
    </row>
    <row r="216" spans="2:5" ht="11.65" customHeight="1" x14ac:dyDescent="0.2">
      <c r="B216" s="112">
        <f>CAT!A211</f>
        <v>205</v>
      </c>
      <c r="C216" s="113">
        <f>CAT!B211</f>
        <v>232858.5136772866</v>
      </c>
      <c r="D216" s="114">
        <f>CAT!C211</f>
        <v>5615.25017501209</v>
      </c>
      <c r="E216" s="115">
        <f t="shared" si="3"/>
        <v>227243.26350227449</v>
      </c>
    </row>
    <row r="217" spans="2:5" ht="11.65" customHeight="1" x14ac:dyDescent="0.2">
      <c r="B217" s="116">
        <f>CAT!A212</f>
        <v>206</v>
      </c>
      <c r="C217" s="117">
        <f>CAT!B212</f>
        <v>227243.26350227449</v>
      </c>
      <c r="D217" s="117">
        <f>CAT!C212</f>
        <v>5659.7279477316752</v>
      </c>
      <c r="E217" s="118">
        <f t="shared" si="3"/>
        <v>221583.53555454282</v>
      </c>
    </row>
    <row r="218" spans="2:5" ht="11.65" customHeight="1" x14ac:dyDescent="0.2">
      <c r="B218" s="116">
        <f>CAT!A213</f>
        <v>207</v>
      </c>
      <c r="C218" s="117">
        <f>CAT!B213</f>
        <v>221583.53555454282</v>
      </c>
      <c r="D218" s="117">
        <f>CAT!C213</f>
        <v>5704.5580239469964</v>
      </c>
      <c r="E218" s="118">
        <f t="shared" si="3"/>
        <v>215878.97753059582</v>
      </c>
    </row>
    <row r="219" spans="2:5" ht="11.65" customHeight="1" x14ac:dyDescent="0.2">
      <c r="B219" s="116">
        <f>CAT!A214</f>
        <v>208</v>
      </c>
      <c r="C219" s="117">
        <f>CAT!B214</f>
        <v>215878.97753059582</v>
      </c>
      <c r="D219" s="117">
        <f>CAT!C214</f>
        <v>5749.7431942148996</v>
      </c>
      <c r="E219" s="118">
        <f t="shared" si="3"/>
        <v>210129.23433638091</v>
      </c>
    </row>
    <row r="220" spans="2:5" ht="11.65" customHeight="1" x14ac:dyDescent="0.2">
      <c r="B220" s="116">
        <f>CAT!A215</f>
        <v>209</v>
      </c>
      <c r="C220" s="117">
        <f>CAT!B215</f>
        <v>210129.23433638091</v>
      </c>
      <c r="D220" s="117">
        <f>CAT!C215</f>
        <v>5795.2862711959215</v>
      </c>
      <c r="E220" s="118">
        <f t="shared" si="3"/>
        <v>204333.94806518499</v>
      </c>
    </row>
    <row r="221" spans="2:5" ht="11.65" customHeight="1" x14ac:dyDescent="0.2">
      <c r="B221" s="116">
        <f>CAT!A216</f>
        <v>210</v>
      </c>
      <c r="C221" s="117">
        <f>CAT!B216</f>
        <v>204333.94806518499</v>
      </c>
      <c r="D221" s="117">
        <f>CAT!C216</f>
        <v>5841.1900898293679</v>
      </c>
      <c r="E221" s="118">
        <f t="shared" si="3"/>
        <v>198492.75797535561</v>
      </c>
    </row>
    <row r="222" spans="2:5" ht="11.65" customHeight="1" x14ac:dyDescent="0.2">
      <c r="B222" s="116">
        <f>CAT!A217</f>
        <v>211</v>
      </c>
      <c r="C222" s="117">
        <f>CAT!B217</f>
        <v>198492.75797535561</v>
      </c>
      <c r="D222" s="117">
        <f>CAT!C217</f>
        <v>5887.4575075097855</v>
      </c>
      <c r="E222" s="118">
        <f t="shared" si="3"/>
        <v>192605.30046784581</v>
      </c>
    </row>
    <row r="223" spans="2:5" ht="11.65" customHeight="1" x14ac:dyDescent="0.2">
      <c r="B223" s="116">
        <f>CAT!A218</f>
        <v>212</v>
      </c>
      <c r="C223" s="117">
        <f>CAT!B218</f>
        <v>192605.30046784581</v>
      </c>
      <c r="D223" s="117">
        <f>CAT!C218</f>
        <v>5934.0914042648246</v>
      </c>
      <c r="E223" s="118">
        <f t="shared" si="3"/>
        <v>186671.20906358099</v>
      </c>
    </row>
    <row r="224" spans="2:5" ht="11.65" customHeight="1" x14ac:dyDescent="0.2">
      <c r="B224" s="116">
        <f>CAT!A219</f>
        <v>213</v>
      </c>
      <c r="C224" s="117">
        <f>CAT!B219</f>
        <v>186671.20906358099</v>
      </c>
      <c r="D224" s="117">
        <f>CAT!C219</f>
        <v>5981.0946829345176</v>
      </c>
      <c r="E224" s="118">
        <f t="shared" si="3"/>
        <v>180690.11438064647</v>
      </c>
    </row>
    <row r="225" spans="2:5" ht="11.65" customHeight="1" x14ac:dyDescent="0.2">
      <c r="B225" s="116">
        <f>CAT!A220</f>
        <v>214</v>
      </c>
      <c r="C225" s="117">
        <f>CAT!B220</f>
        <v>180690.11438064647</v>
      </c>
      <c r="D225" s="117">
        <f>CAT!C220</f>
        <v>6028.4702693519657</v>
      </c>
      <c r="E225" s="118">
        <f t="shared" si="3"/>
        <v>174661.6441112945</v>
      </c>
    </row>
    <row r="226" spans="2:5" ht="11.65" customHeight="1" x14ac:dyDescent="0.2">
      <c r="B226" s="116">
        <f>CAT!A221</f>
        <v>215</v>
      </c>
      <c r="C226" s="117">
        <f>CAT!B221</f>
        <v>174661.6441112945</v>
      </c>
      <c r="D226" s="117">
        <f>CAT!C221</f>
        <v>6076.2211125254726</v>
      </c>
      <c r="E226" s="118">
        <f t="shared" si="3"/>
        <v>168585.42299876903</v>
      </c>
    </row>
    <row r="227" spans="2:5" ht="11.65" customHeight="1" x14ac:dyDescent="0.2">
      <c r="B227" s="119">
        <f>CAT!A222</f>
        <v>216</v>
      </c>
      <c r="C227" s="120">
        <f>CAT!B222</f>
        <v>168585.42299876903</v>
      </c>
      <c r="D227" s="120">
        <f>CAT!C222</f>
        <v>6124.3501848221076</v>
      </c>
      <c r="E227" s="121">
        <f t="shared" si="3"/>
        <v>162461.07281394693</v>
      </c>
    </row>
    <row r="228" spans="2:5" ht="11.65" customHeight="1" x14ac:dyDescent="0.2">
      <c r="B228" s="112">
        <f>CAT!A223</f>
        <v>217</v>
      </c>
      <c r="C228" s="113">
        <f>CAT!B223</f>
        <v>162461.07281394693</v>
      </c>
      <c r="D228" s="114">
        <f>CAT!C223</f>
        <v>6172.8604821527297</v>
      </c>
      <c r="E228" s="115">
        <f t="shared" si="3"/>
        <v>156288.2123317942</v>
      </c>
    </row>
    <row r="229" spans="2:5" ht="11.65" customHeight="1" x14ac:dyDescent="0.2">
      <c r="B229" s="116">
        <f>CAT!A224</f>
        <v>218</v>
      </c>
      <c r="C229" s="117">
        <f>CAT!B224</f>
        <v>156288.2123317942</v>
      </c>
      <c r="D229" s="117">
        <f>CAT!C224</f>
        <v>6221.755024158474</v>
      </c>
      <c r="E229" s="118">
        <f t="shared" si="3"/>
        <v>150066.45730763572</v>
      </c>
    </row>
    <row r="230" spans="2:5" ht="11.65" customHeight="1" x14ac:dyDescent="0.2">
      <c r="B230" s="116">
        <f>CAT!A225</f>
        <v>219</v>
      </c>
      <c r="C230" s="117">
        <f>CAT!B225</f>
        <v>150066.45730763572</v>
      </c>
      <c r="D230" s="117">
        <f>CAT!C225</f>
        <v>6271.0368543987206</v>
      </c>
      <c r="E230" s="118">
        <f t="shared" si="3"/>
        <v>143795.42045323699</v>
      </c>
    </row>
    <row r="231" spans="2:5" ht="11.65" customHeight="1" x14ac:dyDescent="0.2">
      <c r="B231" s="116">
        <f>CAT!A226</f>
        <v>220</v>
      </c>
      <c r="C231" s="117">
        <f>CAT!B226</f>
        <v>143795.42045323699</v>
      </c>
      <c r="D231" s="117">
        <f>CAT!C226</f>
        <v>6320.7090405405397</v>
      </c>
      <c r="E231" s="118">
        <f t="shared" si="3"/>
        <v>137474.71141269646</v>
      </c>
    </row>
    <row r="232" spans="2:5" ht="11.65" customHeight="1" x14ac:dyDescent="0.2">
      <c r="B232" s="116">
        <f>CAT!A227</f>
        <v>221</v>
      </c>
      <c r="C232" s="117">
        <f>CAT!B227</f>
        <v>137474.71141269646</v>
      </c>
      <c r="D232" s="117">
        <f>CAT!C227</f>
        <v>6370.774674549657</v>
      </c>
      <c r="E232" s="118">
        <f t="shared" si="3"/>
        <v>131103.93673814679</v>
      </c>
    </row>
    <row r="233" spans="2:5" ht="11.65" customHeight="1" x14ac:dyDescent="0.2">
      <c r="B233" s="116">
        <f>CAT!A228</f>
        <v>222</v>
      </c>
      <c r="C233" s="117">
        <f>CAT!B228</f>
        <v>131103.93673814679</v>
      </c>
      <c r="D233" s="117">
        <f>CAT!C228</f>
        <v>6421.2368728829115</v>
      </c>
      <c r="E233" s="118">
        <f t="shared" si="3"/>
        <v>124682.69986526387</v>
      </c>
    </row>
    <row r="234" spans="2:5" ht="11.65" customHeight="1" x14ac:dyDescent="0.2">
      <c r="B234" s="116">
        <f>CAT!A229</f>
        <v>223</v>
      </c>
      <c r="C234" s="117">
        <f>CAT!B229</f>
        <v>124682.69986526387</v>
      </c>
      <c r="D234" s="117">
        <f>CAT!C229</f>
        <v>6472.0987766822536</v>
      </c>
      <c r="E234" s="118">
        <f t="shared" si="3"/>
        <v>118210.60108858162</v>
      </c>
    </row>
    <row r="235" spans="2:5" ht="11.65" customHeight="1" x14ac:dyDescent="0.2">
      <c r="B235" s="116">
        <f>CAT!A230</f>
        <v>224</v>
      </c>
      <c r="C235" s="117">
        <f>CAT!B230</f>
        <v>118210.60108858162</v>
      </c>
      <c r="D235" s="117">
        <f>CAT!C230</f>
        <v>6523.3635519702675</v>
      </c>
      <c r="E235" s="118">
        <f t="shared" si="3"/>
        <v>111687.23753661136</v>
      </c>
    </row>
    <row r="236" spans="2:5" ht="11.65" customHeight="1" x14ac:dyDescent="0.2">
      <c r="B236" s="116">
        <f>CAT!A231</f>
        <v>225</v>
      </c>
      <c r="C236" s="117">
        <f>CAT!B231</f>
        <v>111687.23753661136</v>
      </c>
      <c r="D236" s="117">
        <f>CAT!C231</f>
        <v>6575.034389847252</v>
      </c>
      <c r="E236" s="118">
        <f t="shared" si="3"/>
        <v>105112.20314676411</v>
      </c>
    </row>
    <row r="237" spans="2:5" ht="11.65" customHeight="1" x14ac:dyDescent="0.2">
      <c r="B237" s="116">
        <f>CAT!A232</f>
        <v>226</v>
      </c>
      <c r="C237" s="117">
        <f>CAT!B232</f>
        <v>105112.20314676411</v>
      </c>
      <c r="D237" s="117">
        <f>CAT!C232</f>
        <v>6627.1145066898553</v>
      </c>
      <c r="E237" s="118">
        <f t="shared" si="3"/>
        <v>98485.088640074246</v>
      </c>
    </row>
    <row r="238" spans="2:5" ht="11.65" customHeight="1" x14ac:dyDescent="0.2">
      <c r="B238" s="116">
        <f>CAT!A233</f>
        <v>227</v>
      </c>
      <c r="C238" s="117">
        <f>CAT!B233</f>
        <v>98485.088640074246</v>
      </c>
      <c r="D238" s="117">
        <f>CAT!C233</f>
        <v>6679.6071443512892</v>
      </c>
      <c r="E238" s="118">
        <f t="shared" si="3"/>
        <v>91805.481495722954</v>
      </c>
    </row>
    <row r="239" spans="2:5" ht="11.65" customHeight="1" x14ac:dyDescent="0.2">
      <c r="B239" s="119">
        <f>CAT!A234</f>
        <v>228</v>
      </c>
      <c r="C239" s="120">
        <f>CAT!B234</f>
        <v>91805.481495722954</v>
      </c>
      <c r="D239" s="120">
        <f>CAT!C234</f>
        <v>6732.5155703631244</v>
      </c>
      <c r="E239" s="121">
        <f t="shared" si="3"/>
        <v>85072.965925359837</v>
      </c>
    </row>
    <row r="240" spans="2:5" ht="11.65" customHeight="1" x14ac:dyDescent="0.2">
      <c r="B240" s="112">
        <f>CAT!A235</f>
        <v>229</v>
      </c>
      <c r="C240" s="113">
        <f>CAT!B235</f>
        <v>85072.965925359837</v>
      </c>
      <c r="D240" s="114">
        <f>CAT!C235</f>
        <v>6785.8430781386851</v>
      </c>
      <c r="E240" s="115">
        <f t="shared" si="3"/>
        <v>78287.122847221151</v>
      </c>
    </row>
    <row r="241" spans="2:5" ht="11.65" customHeight="1" x14ac:dyDescent="0.2">
      <c r="B241" s="116">
        <f>CAT!A236</f>
        <v>230</v>
      </c>
      <c r="C241" s="117">
        <f>CAT!B236</f>
        <v>78287.122847221151</v>
      </c>
      <c r="D241" s="117">
        <f>CAT!C236</f>
        <v>6839.5929871780572</v>
      </c>
      <c r="E241" s="118">
        <f t="shared" si="3"/>
        <v>71447.529860043098</v>
      </c>
    </row>
    <row r="242" spans="2:5" ht="11.65" customHeight="1" x14ac:dyDescent="0.2">
      <c r="B242" s="116">
        <f>CAT!A237</f>
        <v>231</v>
      </c>
      <c r="C242" s="117">
        <f>CAT!B237</f>
        <v>71447.529860043098</v>
      </c>
      <c r="D242" s="117">
        <f>CAT!C237</f>
        <v>6893.7686432747178</v>
      </c>
      <c r="E242" s="118">
        <f t="shared" si="3"/>
        <v>64553.761216768384</v>
      </c>
    </row>
    <row r="243" spans="2:5" ht="11.65" customHeight="1" x14ac:dyDescent="0.2">
      <c r="B243" s="116">
        <f>CAT!A238</f>
        <v>232</v>
      </c>
      <c r="C243" s="117">
        <f>CAT!B238</f>
        <v>64553.761216768384</v>
      </c>
      <c r="D243" s="117">
        <f>CAT!C238</f>
        <v>6948.3734187238033</v>
      </c>
      <c r="E243" s="118">
        <f t="shared" si="3"/>
        <v>57605.387798044583</v>
      </c>
    </row>
    <row r="244" spans="2:5" ht="11.65" customHeight="1" x14ac:dyDescent="0.2">
      <c r="B244" s="116">
        <f>CAT!A239</f>
        <v>233</v>
      </c>
      <c r="C244" s="117">
        <f>CAT!B239</f>
        <v>57605.387798044583</v>
      </c>
      <c r="D244" s="117">
        <f>CAT!C239</f>
        <v>7003.4107125320234</v>
      </c>
      <c r="E244" s="118">
        <f t="shared" si="3"/>
        <v>50601.977085512561</v>
      </c>
    </row>
    <row r="245" spans="2:5" ht="11.65" customHeight="1" x14ac:dyDescent="0.2">
      <c r="B245" s="116">
        <f>CAT!A240</f>
        <v>234</v>
      </c>
      <c r="C245" s="117">
        <f>CAT!B240</f>
        <v>50601.977085512561</v>
      </c>
      <c r="D245" s="117">
        <f>CAT!C240</f>
        <v>7058.8839506292443</v>
      </c>
      <c r="E245" s="118">
        <f t="shared" si="3"/>
        <v>43543.093134883318</v>
      </c>
    </row>
    <row r="246" spans="2:5" ht="11.65" customHeight="1" x14ac:dyDescent="0.2">
      <c r="B246" s="116">
        <f>CAT!A241</f>
        <v>235</v>
      </c>
      <c r="C246" s="117">
        <f>CAT!B241</f>
        <v>43543.093134883318</v>
      </c>
      <c r="D246" s="117">
        <f>CAT!C241</f>
        <v>7114.7965860817394</v>
      </c>
      <c r="E246" s="118">
        <f t="shared" si="3"/>
        <v>36428.296548801576</v>
      </c>
    </row>
    <row r="247" spans="2:5" ht="11.65" customHeight="1" x14ac:dyDescent="0.2">
      <c r="B247" s="116">
        <f>CAT!A242</f>
        <v>236</v>
      </c>
      <c r="C247" s="117">
        <f>CAT!B242</f>
        <v>36428.296548801576</v>
      </c>
      <c r="D247" s="117">
        <f>CAT!C242</f>
        <v>7171.152099307139</v>
      </c>
      <c r="E247" s="118">
        <f t="shared" si="3"/>
        <v>29257.144449494437</v>
      </c>
    </row>
    <row r="248" spans="2:5" ht="11.65" customHeight="1" x14ac:dyDescent="0.2">
      <c r="B248" s="116">
        <f>CAT!A243</f>
        <v>237</v>
      </c>
      <c r="C248" s="117">
        <f>CAT!B243</f>
        <v>29257.144449494437</v>
      </c>
      <c r="D248" s="117">
        <f>CAT!C243</f>
        <v>7227.9539982910728</v>
      </c>
      <c r="E248" s="118">
        <f t="shared" si="3"/>
        <v>22029.190451203365</v>
      </c>
    </row>
    <row r="249" spans="2:5" ht="11.65" customHeight="1" x14ac:dyDescent="0.2">
      <c r="B249" s="116">
        <f>CAT!A244</f>
        <v>238</v>
      </c>
      <c r="C249" s="117">
        <f>CAT!B244</f>
        <v>22029.190451203365</v>
      </c>
      <c r="D249" s="117">
        <f>CAT!C244</f>
        <v>7285.2058188055371</v>
      </c>
      <c r="E249" s="118">
        <f t="shared" si="3"/>
        <v>14743.984632397827</v>
      </c>
    </row>
    <row r="250" spans="2:5" ht="11.65" customHeight="1" x14ac:dyDescent="0.2">
      <c r="B250" s="116">
        <f>CAT!A245</f>
        <v>239</v>
      </c>
      <c r="C250" s="117">
        <f>CAT!B245</f>
        <v>14743.984632397827</v>
      </c>
      <c r="D250" s="117">
        <f>CAT!C245</f>
        <v>7342.9111246289822</v>
      </c>
      <c r="E250" s="118">
        <f t="shared" si="3"/>
        <v>7401.073507768845</v>
      </c>
    </row>
    <row r="251" spans="2:5" ht="11.65" customHeight="1" x14ac:dyDescent="0.2">
      <c r="B251" s="119">
        <f>CAT!A246</f>
        <v>240</v>
      </c>
      <c r="C251" s="120">
        <f>CAT!B246</f>
        <v>7401.073507768845</v>
      </c>
      <c r="D251" s="120">
        <f>CAT!C246</f>
        <v>7401.0735077681547</v>
      </c>
      <c r="E251" s="121">
        <f t="shared" si="3"/>
        <v>6.9030647864565253E-10</v>
      </c>
    </row>
    <row r="252" spans="2:5" ht="11.65" customHeight="1" x14ac:dyDescent="0.2">
      <c r="B252" s="252"/>
      <c r="C252" s="252"/>
      <c r="D252" s="252"/>
      <c r="E252" s="252"/>
    </row>
  </sheetData>
  <sheetProtection algorithmName="SHA-512" hashValue="s6hkniGbTDS9IIavkcaKkiaXvzkt2pV5ToauK8waKsQppMFT95peIUHJXcN0Dr7OxGEuWPkQG5pKha6RfAN9ew==" saltValue="C7Hb4PskDlkCx4nBsAKoFg==" spinCount="100000" sheet="1"/>
  <mergeCells count="3">
    <mergeCell ref="C4:E4"/>
    <mergeCell ref="B10:E10"/>
    <mergeCell ref="B252:E252"/>
  </mergeCells>
  <printOptions horizontalCentered="1" verticalCentered="1"/>
  <pageMargins left="0.70866141732283472" right="0.70866141732283472" top="0.74803149606299213" bottom="0.74803149606299213" header="0.31496062992125984" footer="0.31496062992125984"/>
  <pageSetup paperSize="9" scale="8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4DD6-D4B9-403F-B1A9-38641F8A17A4}">
  <sheetPr codeName="Hoja17">
    <pageSetUpPr fitToPage="1"/>
  </sheetPr>
  <dimension ref="A1:M176"/>
  <sheetViews>
    <sheetView showGridLines="0" topLeftCell="A29" zoomScale="120" zoomScaleNormal="120" workbookViewId="0">
      <selection activeCell="C16" sqref="C16"/>
    </sheetView>
  </sheetViews>
  <sheetFormatPr baseColWidth="10" defaultColWidth="0" defaultRowHeight="15" zeroHeight="1" x14ac:dyDescent="0.25"/>
  <cols>
    <col min="1" max="1" width="26.85546875" style="126" customWidth="1"/>
    <col min="2" max="2" width="30.42578125" style="126" customWidth="1"/>
    <col min="3" max="3" width="13.42578125" style="126" customWidth="1"/>
    <col min="4" max="4" width="13" style="126" customWidth="1"/>
    <col min="5" max="5" width="28.140625" style="126" customWidth="1"/>
    <col min="6" max="6" width="1.140625" style="126" customWidth="1"/>
    <col min="7" max="7" width="11.42578125" style="126" hidden="1" customWidth="1"/>
    <col min="8" max="8" width="12.5703125" style="126" hidden="1" customWidth="1"/>
    <col min="9" max="10" width="11.42578125" style="126" hidden="1" customWidth="1"/>
    <col min="11" max="11" width="21.5703125" style="126" hidden="1" customWidth="1"/>
    <col min="12" max="16384" width="11.42578125" style="126" hidden="1"/>
  </cols>
  <sheetData>
    <row r="1" spans="1:8" ht="15.75" thickBot="1" x14ac:dyDescent="0.3"/>
    <row r="2" spans="1:8" x14ac:dyDescent="0.25">
      <c r="A2" s="253" t="s">
        <v>202</v>
      </c>
      <c r="B2" s="254"/>
      <c r="C2" s="254"/>
      <c r="D2" s="254"/>
      <c r="E2" s="255"/>
    </row>
    <row r="3" spans="1:8" x14ac:dyDescent="0.25">
      <c r="A3" s="256" t="s">
        <v>203</v>
      </c>
      <c r="B3" s="257"/>
      <c r="C3" s="155"/>
      <c r="D3" s="220" t="s">
        <v>204</v>
      </c>
      <c r="E3" s="156">
        <f ca="1">Carátula!F7</f>
        <v>45705</v>
      </c>
    </row>
    <row r="4" spans="1:8" x14ac:dyDescent="0.25">
      <c r="A4" s="157"/>
      <c r="B4" s="158"/>
      <c r="C4" s="158"/>
      <c r="D4" s="158"/>
      <c r="E4" s="159"/>
    </row>
    <row r="5" spans="1:8" x14ac:dyDescent="0.25">
      <c r="A5" s="258" t="s">
        <v>205</v>
      </c>
      <c r="B5" s="259"/>
      <c r="C5" s="259"/>
      <c r="D5" s="259"/>
      <c r="E5" s="260"/>
    </row>
    <row r="6" spans="1:8" x14ac:dyDescent="0.25">
      <c r="A6" s="261" t="s">
        <v>206</v>
      </c>
      <c r="B6" s="262"/>
      <c r="C6" s="262"/>
      <c r="D6" s="162" t="s">
        <v>207</v>
      </c>
      <c r="E6" s="221" t="s">
        <v>208</v>
      </c>
    </row>
    <row r="7" spans="1:8" x14ac:dyDescent="0.25">
      <c r="A7" s="163" t="s">
        <v>209</v>
      </c>
      <c r="B7" s="263" t="s">
        <v>210</v>
      </c>
      <c r="C7" s="263"/>
      <c r="D7" s="263"/>
      <c r="E7" s="264"/>
    </row>
    <row r="8" spans="1:8" x14ac:dyDescent="0.25">
      <c r="A8" s="265" t="s">
        <v>211</v>
      </c>
      <c r="B8" s="266"/>
      <c r="C8" s="266"/>
      <c r="D8" s="266"/>
      <c r="E8" s="267"/>
    </row>
    <row r="9" spans="1:8" x14ac:dyDescent="0.25">
      <c r="A9" s="265"/>
      <c r="B9" s="266"/>
      <c r="C9" s="266"/>
      <c r="D9" s="266"/>
      <c r="E9" s="267"/>
    </row>
    <row r="10" spans="1:8" x14ac:dyDescent="0.25">
      <c r="A10" s="265"/>
      <c r="B10" s="266"/>
      <c r="C10" s="266"/>
      <c r="D10" s="266"/>
      <c r="E10" s="267"/>
    </row>
    <row r="11" spans="1:8" x14ac:dyDescent="0.25">
      <c r="A11" s="265"/>
      <c r="B11" s="266"/>
      <c r="C11" s="266"/>
      <c r="D11" s="266"/>
      <c r="E11" s="267"/>
    </row>
    <row r="12" spans="1:8" x14ac:dyDescent="0.25">
      <c r="A12" s="265"/>
      <c r="B12" s="266"/>
      <c r="C12" s="266"/>
      <c r="D12" s="266"/>
      <c r="E12" s="267"/>
    </row>
    <row r="13" spans="1:8" x14ac:dyDescent="0.25">
      <c r="A13" s="265" t="s">
        <v>212</v>
      </c>
      <c r="B13" s="266"/>
      <c r="C13" s="266"/>
      <c r="D13" s="266"/>
      <c r="E13" s="267"/>
    </row>
    <row r="14" spans="1:8" x14ac:dyDescent="0.25">
      <c r="A14" s="265"/>
      <c r="B14" s="266"/>
      <c r="C14" s="266"/>
      <c r="D14" s="266"/>
      <c r="E14" s="267"/>
    </row>
    <row r="15" spans="1:8" x14ac:dyDescent="0.25">
      <c r="A15" s="274" t="s">
        <v>213</v>
      </c>
      <c r="B15" s="275"/>
      <c r="C15" s="161"/>
      <c r="D15" s="276" t="s">
        <v>214</v>
      </c>
      <c r="E15" s="277"/>
    </row>
    <row r="16" spans="1:8" ht="15" customHeight="1" x14ac:dyDescent="0.25">
      <c r="A16" s="166" t="s">
        <v>215</v>
      </c>
      <c r="B16" s="167" t="str">
        <f>Carátula!F13</f>
        <v>Tradicional</v>
      </c>
      <c r="C16" s="161"/>
      <c r="D16" s="278">
        <f>Carátula!D41</f>
        <v>0.10718138419196266</v>
      </c>
      <c r="E16" s="281" t="s">
        <v>216</v>
      </c>
      <c r="H16" s="126" t="str">
        <f>IF([3]Simulador!$F$9="Liquidez",[3]Simulador!$F$9,IF([3]Simulador!$F$9='[3]Tabla Parámetros'!$J$11,[3]Simulador!$F$9,'Oferta Vinculante'!$H$18))</f>
        <v>Adquisición Hipoteca (Hipoteca Fuerte)</v>
      </c>
    </row>
    <row r="17" spans="1:13" ht="27" customHeight="1" x14ac:dyDescent="0.25">
      <c r="A17" s="168" t="s">
        <v>1</v>
      </c>
      <c r="B17" s="169" t="str">
        <f>Carátula!I35</f>
        <v>Liquidez</v>
      </c>
      <c r="C17" s="161"/>
      <c r="D17" s="279"/>
      <c r="E17" s="282"/>
      <c r="H17" s="126" t="str">
        <f>[3]Simulador!$F$9</f>
        <v>Adquisición</v>
      </c>
      <c r="I17" s="126" t="s">
        <v>217</v>
      </c>
      <c r="J17" s="126" t="str">
        <f>[3]Simulador!$F$11</f>
        <v>Hipoteca Fuerte</v>
      </c>
    </row>
    <row r="18" spans="1:13" ht="15" customHeight="1" x14ac:dyDescent="0.25">
      <c r="A18" s="170" t="s">
        <v>218</v>
      </c>
      <c r="B18" s="171">
        <f>Carátula!F44</f>
        <v>800000</v>
      </c>
      <c r="C18" s="161"/>
      <c r="D18" s="279"/>
      <c r="E18" s="282"/>
      <c r="H18" s="126" t="str">
        <f>H17&amp;" "&amp;I17&amp;"("&amp;J17&amp;")"</f>
        <v>Adquisición Hipoteca (Hipoteca Fuerte)</v>
      </c>
    </row>
    <row r="19" spans="1:13" ht="15" customHeight="1" x14ac:dyDescent="0.25">
      <c r="A19" s="166" t="s">
        <v>219</v>
      </c>
      <c r="B19" s="172" t="s">
        <v>220</v>
      </c>
      <c r="C19" s="161"/>
      <c r="D19" s="279"/>
      <c r="E19" s="282"/>
    </row>
    <row r="20" spans="1:13" ht="15" customHeight="1" x14ac:dyDescent="0.25">
      <c r="A20" s="166" t="s">
        <v>221</v>
      </c>
      <c r="B20" s="172" t="s">
        <v>222</v>
      </c>
      <c r="C20" s="161"/>
      <c r="D20" s="279"/>
      <c r="E20" s="282"/>
    </row>
    <row r="21" spans="1:13" ht="15" customHeight="1" x14ac:dyDescent="0.25">
      <c r="A21" s="166" t="s">
        <v>223</v>
      </c>
      <c r="B21" s="173">
        <f>Carátula!F15</f>
        <v>3000000</v>
      </c>
      <c r="C21" s="161"/>
      <c r="D21" s="279"/>
      <c r="E21" s="282"/>
    </row>
    <row r="22" spans="1:13" ht="15" customHeight="1" x14ac:dyDescent="0.25">
      <c r="A22" s="166" t="s">
        <v>224</v>
      </c>
      <c r="B22" s="174">
        <f>IF(Carátula!I35="Liquidez",Carátula!N17,Carátula!N15)</f>
        <v>0.26666666666666666</v>
      </c>
      <c r="C22" s="161"/>
      <c r="D22" s="280"/>
      <c r="E22" s="283"/>
    </row>
    <row r="23" spans="1:13" ht="8.25" customHeight="1" x14ac:dyDescent="0.25">
      <c r="A23" s="175"/>
      <c r="B23" s="161"/>
      <c r="C23" s="161"/>
      <c r="D23" s="176"/>
      <c r="E23" s="177"/>
      <c r="H23" s="126" t="s">
        <v>225</v>
      </c>
    </row>
    <row r="24" spans="1:13" x14ac:dyDescent="0.25">
      <c r="A24" s="268" t="str">
        <f>H23&amp;I24</f>
        <v xml:space="preserve">Tasa de Interés Anual Fija </v>
      </c>
      <c r="B24" s="269"/>
      <c r="C24" s="161"/>
      <c r="D24" s="284" t="s">
        <v>226</v>
      </c>
      <c r="E24" s="285"/>
      <c r="I24" s="126" t="str">
        <f>IF([3]Simulador!$F$11='[3]Tabla Parámetros'!$O$4,"*"," ")</f>
        <v xml:space="preserve"> </v>
      </c>
    </row>
    <row r="25" spans="1:13" ht="22.5" x14ac:dyDescent="0.25">
      <c r="A25" s="166" t="s">
        <v>227</v>
      </c>
      <c r="B25" s="172" t="s">
        <v>228</v>
      </c>
      <c r="C25" s="161"/>
      <c r="D25" s="172" t="s">
        <v>229</v>
      </c>
      <c r="E25" s="179" t="s">
        <v>230</v>
      </c>
      <c r="K25" s="222" t="s">
        <v>231</v>
      </c>
    </row>
    <row r="26" spans="1:13" x14ac:dyDescent="0.25">
      <c r="A26" s="166" t="s">
        <v>232</v>
      </c>
      <c r="B26" s="174">
        <f>Carátula!E39</f>
        <v>9.3799999999999994E-2</v>
      </c>
      <c r="C26" s="161"/>
      <c r="E26" s="223"/>
      <c r="K26" s="126" t="str">
        <f>IF([3]Simulador!$F$9='[3]Tabla Parámetros'!$J$7,'Oferta Vinculante'!$K$25,IF([3]Simulador!$F$9='[3]Tabla Parámetros'!$J$8,'Oferta Vinculante'!$K$25,IF([3]Simulador!$F$9='[3]Tabla Parámetros'!$J$9,'Oferta Vinculante'!$K$25,"No Aplica")))</f>
        <v>No Aplica</v>
      </c>
    </row>
    <row r="27" spans="1:13" x14ac:dyDescent="0.25">
      <c r="A27" s="166" t="s">
        <v>233</v>
      </c>
      <c r="B27" s="174">
        <f>$B$26*2</f>
        <v>0.18759999999999999</v>
      </c>
      <c r="C27" s="161"/>
      <c r="E27" s="223"/>
    </row>
    <row r="28" spans="1:13" ht="6.75" customHeight="1" x14ac:dyDescent="0.25">
      <c r="A28" s="160"/>
      <c r="B28" s="161"/>
      <c r="C28" s="161"/>
      <c r="E28" s="223"/>
      <c r="K28" s="126" t="s">
        <v>231</v>
      </c>
    </row>
    <row r="29" spans="1:13" x14ac:dyDescent="0.25">
      <c r="A29" s="178" t="s">
        <v>234</v>
      </c>
      <c r="B29" s="180">
        <f>Carátula!H29/12</f>
        <v>20</v>
      </c>
      <c r="C29" s="161"/>
      <c r="E29" s="223"/>
      <c r="K29" s="224">
        <f>[3]Simulador!$N$15</f>
        <v>0.01</v>
      </c>
    </row>
    <row r="30" spans="1:13" ht="6.75" customHeight="1" x14ac:dyDescent="0.25">
      <c r="A30" s="160"/>
      <c r="B30" s="161"/>
      <c r="C30" s="161"/>
      <c r="D30" s="161"/>
      <c r="E30" s="159"/>
    </row>
    <row r="31" spans="1:13" ht="15" customHeight="1" x14ac:dyDescent="0.25">
      <c r="A31" s="268" t="s">
        <v>235</v>
      </c>
      <c r="B31" s="269"/>
      <c r="C31" s="161"/>
      <c r="D31" s="270" t="str">
        <f>"Componentes y valores " &amp; VLOOKUP(2,NN.Catalogo,6) &amp; " del CAT"</f>
        <v>Componentes y valores (2) del CAT</v>
      </c>
      <c r="E31" s="271"/>
      <c r="K31" s="272" t="s">
        <v>236</v>
      </c>
      <c r="L31" s="273"/>
      <c r="M31" s="126" t="str">
        <f>IF([3]Simulador!$N$17="SI","Financiada",IF([3]Simulador!$N$17="NO","Contado",))</f>
        <v>Contado</v>
      </c>
    </row>
    <row r="32" spans="1:13" x14ac:dyDescent="0.25">
      <c r="A32" s="166" t="s">
        <v>237</v>
      </c>
      <c r="B32" s="181" t="s">
        <v>238</v>
      </c>
      <c r="C32" s="161"/>
      <c r="D32" s="272" t="str">
        <f>$K$31&amp;$M$31</f>
        <v>Contratación - crédito Contado</v>
      </c>
      <c r="E32" s="273"/>
      <c r="K32" s="272" t="s">
        <v>239</v>
      </c>
      <c r="L32" s="273"/>
      <c r="M32" s="225"/>
    </row>
    <row r="33" spans="1:12" x14ac:dyDescent="0.25">
      <c r="A33" s="166" t="s">
        <v>240</v>
      </c>
      <c r="B33" s="182" t="s">
        <v>222</v>
      </c>
      <c r="C33" s="161"/>
      <c r="D33" s="272" t="str">
        <f>K32&amp;" "&amp;M32</f>
        <v xml:space="preserve">Gastos de Preoriginación - avalúo hipotecario  </v>
      </c>
      <c r="E33" s="273"/>
      <c r="K33" s="272" t="s">
        <v>241</v>
      </c>
      <c r="L33" s="273"/>
    </row>
    <row r="34" spans="1:12" x14ac:dyDescent="0.25">
      <c r="A34" s="160"/>
      <c r="B34" s="161"/>
      <c r="C34" s="161"/>
      <c r="D34" s="272" t="s">
        <v>241</v>
      </c>
      <c r="E34" s="273"/>
      <c r="K34" s="272" t="s">
        <v>242</v>
      </c>
      <c r="L34" s="273"/>
    </row>
    <row r="35" spans="1:12" x14ac:dyDescent="0.25">
      <c r="A35" s="164" t="s">
        <v>243</v>
      </c>
      <c r="B35" s="165"/>
      <c r="C35" s="161"/>
      <c r="D35" s="272" t="s">
        <v>242</v>
      </c>
      <c r="E35" s="273"/>
      <c r="K35" s="295" t="s">
        <v>244</v>
      </c>
      <c r="L35" s="296"/>
    </row>
    <row r="36" spans="1:12" x14ac:dyDescent="0.25">
      <c r="A36" s="166" t="str">
        <f>K31</f>
        <v xml:space="preserve">Contratación - crédito </v>
      </c>
      <c r="B36" s="174">
        <v>0</v>
      </c>
      <c r="C36" s="161"/>
      <c r="D36" s="295" t="s">
        <v>244</v>
      </c>
      <c r="E36" s="296"/>
      <c r="K36" s="272" t="s">
        <v>245</v>
      </c>
      <c r="L36" s="273"/>
    </row>
    <row r="37" spans="1:12" ht="22.5" x14ac:dyDescent="0.25">
      <c r="A37" s="166" t="s">
        <v>246</v>
      </c>
      <c r="B37" s="183" t="s">
        <v>222</v>
      </c>
      <c r="C37" s="161"/>
      <c r="D37" s="272" t="s">
        <v>245</v>
      </c>
      <c r="E37" s="273"/>
      <c r="K37" s="272" t="s">
        <v>80</v>
      </c>
      <c r="L37" s="273"/>
    </row>
    <row r="38" spans="1:12" ht="22.5" x14ac:dyDescent="0.25">
      <c r="A38" s="184" t="s">
        <v>247</v>
      </c>
      <c r="B38" s="174" t="str">
        <f>K26</f>
        <v>No Aplica</v>
      </c>
      <c r="C38" s="161"/>
      <c r="D38" s="272" t="str">
        <f>K37</f>
        <v>Administración - autorización de crédito diferido</v>
      </c>
      <c r="E38" s="273"/>
    </row>
    <row r="39" spans="1:12" ht="22.5" x14ac:dyDescent="0.25">
      <c r="A39" s="166" t="s">
        <v>241</v>
      </c>
      <c r="B39" s="185">
        <f>Carátula!L30</f>
        <v>750</v>
      </c>
      <c r="C39" s="161"/>
      <c r="D39" s="286" t="str">
        <f>[7]Cotización!$B$89 &amp; VLOOKUP(3,NN.Catalogo,6)</f>
        <v/>
      </c>
      <c r="E39" s="287" t="str">
        <f>Monto_Devolución</f>
        <v/>
      </c>
    </row>
    <row r="40" spans="1:12" x14ac:dyDescent="0.25">
      <c r="A40" s="289" t="s">
        <v>248</v>
      </c>
      <c r="B40" s="291">
        <f>Carátula!L44</f>
        <v>0</v>
      </c>
      <c r="C40" s="161"/>
      <c r="D40" s="286"/>
      <c r="E40" s="288"/>
    </row>
    <row r="41" spans="1:12" x14ac:dyDescent="0.25">
      <c r="A41" s="290"/>
      <c r="B41" s="292"/>
      <c r="C41" s="161"/>
      <c r="D41" s="293" t="str">
        <f>IF(Mujer_Banorte="Sí","Servicio de Asistencias","")</f>
        <v/>
      </c>
      <c r="E41" s="294"/>
      <c r="L41" s="126" t="s">
        <v>249</v>
      </c>
    </row>
    <row r="42" spans="1:12" x14ac:dyDescent="0.25">
      <c r="A42" s="166" t="s">
        <v>250</v>
      </c>
      <c r="B42" s="186" t="s">
        <v>251</v>
      </c>
      <c r="C42" s="161"/>
      <c r="D42" s="293" t="str">
        <f>IF(Mujer_Banorte="Sí","Seguro de Enfermedades Graves y Momentos de Vida","")</f>
        <v/>
      </c>
      <c r="E42" s="294"/>
    </row>
    <row r="43" spans="1:12" ht="33.75" x14ac:dyDescent="0.25">
      <c r="A43" s="166" t="s">
        <v>252</v>
      </c>
      <c r="B43" s="183" t="s">
        <v>253</v>
      </c>
      <c r="C43" s="161"/>
      <c r="D43" s="293" t="str">
        <f>IF(Destino=Construcción,"Comisión por supervisión de obra contado","")</f>
        <v/>
      </c>
      <c r="E43" s="294"/>
    </row>
    <row r="44" spans="1:12" ht="7.5" customHeight="1" x14ac:dyDescent="0.25">
      <c r="A44" s="160"/>
      <c r="B44" s="161"/>
      <c r="C44" s="161"/>
      <c r="D44" s="161"/>
      <c r="E44" s="159"/>
    </row>
    <row r="45" spans="1:12" x14ac:dyDescent="0.25">
      <c r="A45" s="164" t="str">
        <f>"Seguros " &amp; VLOOKUP(4,NN.Catalogo,6)</f>
        <v>Seguros (3)</v>
      </c>
      <c r="B45" s="165"/>
      <c r="C45" s="161"/>
      <c r="D45" s="284" t="s">
        <v>254</v>
      </c>
      <c r="E45" s="285"/>
      <c r="K45" s="126" t="s">
        <v>255</v>
      </c>
    </row>
    <row r="46" spans="1:12" ht="22.5" x14ac:dyDescent="0.25">
      <c r="A46" s="297" t="str">
        <f>[7]Tipo_Seguro!o.Leyenda_Vida</f>
        <v>Seguro de Vida, Enfermedades Graves y Momentos de Vida.</v>
      </c>
      <c r="B46" s="298" t="str">
        <f>"$"&amp;L47&amp;K47</f>
        <v>$480 No genera I.V.A.</v>
      </c>
      <c r="C46" s="161"/>
      <c r="D46" s="187" t="s">
        <v>256</v>
      </c>
      <c r="E46" s="188" t="str">
        <f>K46</f>
        <v>2.5  Al millar más I.V.A.</v>
      </c>
      <c r="H46" s="189">
        <f>Carátula!L28+Carátula!L29</f>
        <v>30531.034482758623</v>
      </c>
      <c r="I46" s="299" t="s">
        <v>257</v>
      </c>
      <c r="K46" s="126" t="str">
        <f>'[3]Tabla Parámetros'!Q90&amp;" "&amp;" "&amp;'Oferta Vinculante'!K45</f>
        <v>2.5  Al millar más I.V.A.</v>
      </c>
    </row>
    <row r="47" spans="1:12" x14ac:dyDescent="0.25">
      <c r="A47" s="297"/>
      <c r="B47" s="298"/>
      <c r="C47" s="161"/>
      <c r="D47" s="301" t="s">
        <v>258</v>
      </c>
      <c r="E47" s="190">
        <f>H46</f>
        <v>30531.034482758623</v>
      </c>
      <c r="I47" s="300"/>
      <c r="J47" s="226">
        <f>CAT!F7</f>
        <v>479.99999999999994</v>
      </c>
      <c r="K47" s="126" t="s">
        <v>259</v>
      </c>
      <c r="L47" s="226">
        <f>ROUNDUP(J47,2)</f>
        <v>480</v>
      </c>
    </row>
    <row r="48" spans="1:12" ht="15" customHeight="1" x14ac:dyDescent="0.25">
      <c r="A48" s="297" t="str">
        <f>[7]Tipo_Seguro!o.Leyenda_OV_Seguros_Daños</f>
        <v>Daños y Contenidos.</v>
      </c>
      <c r="B48" s="298" t="str">
        <f>"$"&amp;L48&amp;K48</f>
        <v>$0 I.V.A. incluido</v>
      </c>
      <c r="C48" s="161"/>
      <c r="D48" s="301"/>
      <c r="E48" s="302" t="str">
        <f>I46</f>
        <v xml:space="preserve"> (monto estimado en virtud de tratarse de cantidades determinadas por el Notario Público, Registro Público de la Propiedad respectivo, de acuerdo al monto de la operación).</v>
      </c>
      <c r="I48" s="300"/>
      <c r="J48" s="226">
        <f>CAT!G7</f>
        <v>0</v>
      </c>
      <c r="K48" s="126" t="s">
        <v>260</v>
      </c>
      <c r="L48" s="226">
        <f>ROUNDUP(J48,2)</f>
        <v>0</v>
      </c>
    </row>
    <row r="49" spans="1:9" x14ac:dyDescent="0.25">
      <c r="A49" s="297"/>
      <c r="B49" s="298"/>
      <c r="C49" s="161"/>
      <c r="D49" s="301"/>
      <c r="E49" s="302"/>
      <c r="I49" s="300"/>
    </row>
    <row r="50" spans="1:9" x14ac:dyDescent="0.25">
      <c r="A50" s="289" t="s">
        <v>261</v>
      </c>
      <c r="B50" s="316" t="s">
        <v>262</v>
      </c>
      <c r="C50" s="161"/>
      <c r="D50" s="301"/>
      <c r="E50" s="302"/>
      <c r="I50" s="300"/>
    </row>
    <row r="51" spans="1:9" x14ac:dyDescent="0.25">
      <c r="A51" s="315"/>
      <c r="B51" s="317"/>
      <c r="C51" s="161"/>
      <c r="D51" s="301"/>
      <c r="E51" s="302"/>
      <c r="I51" s="300"/>
    </row>
    <row r="52" spans="1:9" x14ac:dyDescent="0.25">
      <c r="A52" s="191" t="str">
        <f>IF(Mujer_Banorte="Sí","Seguro de Enfermedades Graves y Momentos de Vida","")</f>
        <v/>
      </c>
      <c r="B52" s="192" t="str">
        <f>IF(A52="","",""&amp;DOLLAR(+[7]Cotización!$D$209)&amp;" No genera I.V.A.")</f>
        <v/>
      </c>
      <c r="C52" s="161"/>
      <c r="D52" s="301"/>
      <c r="E52" s="302"/>
    </row>
    <row r="53" spans="1:9" x14ac:dyDescent="0.25">
      <c r="A53" s="303" t="s">
        <v>263</v>
      </c>
      <c r="B53" s="304"/>
      <c r="C53" s="304"/>
      <c r="D53" s="304"/>
      <c r="E53" s="305"/>
    </row>
    <row r="54" spans="1:9" x14ac:dyDescent="0.25">
      <c r="A54" s="303" t="s">
        <v>264</v>
      </c>
      <c r="B54" s="304"/>
      <c r="C54" s="304"/>
      <c r="D54" s="304"/>
      <c r="E54" s="305"/>
    </row>
    <row r="55" spans="1:9" x14ac:dyDescent="0.25">
      <c r="A55" s="303" t="s">
        <v>265</v>
      </c>
      <c r="B55" s="304"/>
      <c r="C55" s="304"/>
      <c r="D55" s="304"/>
      <c r="E55" s="305"/>
    </row>
    <row r="56" spans="1:9" x14ac:dyDescent="0.25">
      <c r="A56" s="303" t="s">
        <v>54</v>
      </c>
      <c r="B56" s="304"/>
      <c r="C56" s="304"/>
      <c r="D56" s="304"/>
      <c r="E56" s="305"/>
    </row>
    <row r="57" spans="1:9" x14ac:dyDescent="0.25">
      <c r="A57" s="303">
        <f>IF([3]Simulador!$F$11='[3]Tabla Parámetros'!$O$4,'Oferta Vinculante'!$I$57,'Oferta Vinculante'!I56)</f>
        <v>0</v>
      </c>
      <c r="B57" s="304"/>
      <c r="C57" s="304"/>
      <c r="D57" s="304"/>
      <c r="E57" s="305"/>
      <c r="I57" s="126" t="s">
        <v>266</v>
      </c>
    </row>
    <row r="58" spans="1:9" x14ac:dyDescent="0.25">
      <c r="A58" s="306" t="s">
        <v>267</v>
      </c>
      <c r="B58" s="307"/>
      <c r="C58" s="307"/>
      <c r="D58" s="307"/>
      <c r="E58" s="308"/>
    </row>
    <row r="59" spans="1:9" ht="7.5" customHeight="1" x14ac:dyDescent="0.25">
      <c r="A59" s="193"/>
      <c r="B59" s="194"/>
      <c r="C59" s="194"/>
      <c r="D59" s="194"/>
      <c r="E59" s="195"/>
    </row>
    <row r="60" spans="1:9" x14ac:dyDescent="0.25">
      <c r="A60" s="309" t="s">
        <v>268</v>
      </c>
      <c r="B60" s="310"/>
      <c r="C60" s="310"/>
      <c r="D60" s="310"/>
      <c r="E60" s="311"/>
    </row>
    <row r="61" spans="1:9" x14ac:dyDescent="0.25">
      <c r="A61" s="309"/>
      <c r="B61" s="310"/>
      <c r="C61" s="310"/>
      <c r="D61" s="310"/>
      <c r="E61" s="311"/>
    </row>
    <row r="62" spans="1:9" x14ac:dyDescent="0.25">
      <c r="A62" s="309"/>
      <c r="B62" s="310"/>
      <c r="C62" s="310"/>
      <c r="D62" s="310"/>
      <c r="E62" s="311"/>
    </row>
    <row r="63" spans="1:9" x14ac:dyDescent="0.25">
      <c r="A63" s="309"/>
      <c r="B63" s="310"/>
      <c r="C63" s="310"/>
      <c r="D63" s="310"/>
      <c r="E63" s="311"/>
    </row>
    <row r="64" spans="1:9" x14ac:dyDescent="0.25">
      <c r="A64" s="309" t="s">
        <v>269</v>
      </c>
      <c r="B64" s="312"/>
      <c r="C64" s="312"/>
      <c r="D64" s="312"/>
      <c r="E64" s="313"/>
    </row>
    <row r="65" spans="1:5" x14ac:dyDescent="0.25">
      <c r="A65" s="314"/>
      <c r="B65" s="312"/>
      <c r="C65" s="312"/>
      <c r="D65" s="312"/>
      <c r="E65" s="313"/>
    </row>
    <row r="66" spans="1:5" x14ac:dyDescent="0.25">
      <c r="A66" s="309" t="s">
        <v>270</v>
      </c>
      <c r="B66" s="310"/>
      <c r="C66" s="310"/>
      <c r="D66" s="310"/>
      <c r="E66" s="311"/>
    </row>
    <row r="67" spans="1:5" x14ac:dyDescent="0.25">
      <c r="A67" s="309"/>
      <c r="B67" s="310"/>
      <c r="C67" s="310"/>
      <c r="D67" s="310"/>
      <c r="E67" s="311"/>
    </row>
    <row r="68" spans="1:5" x14ac:dyDescent="0.25">
      <c r="A68" s="309" t="s">
        <v>271</v>
      </c>
      <c r="B68" s="310"/>
      <c r="C68" s="310"/>
      <c r="D68" s="310"/>
      <c r="E68" s="311"/>
    </row>
    <row r="69" spans="1:5" x14ac:dyDescent="0.25">
      <c r="A69" s="309"/>
      <c r="B69" s="310"/>
      <c r="C69" s="310"/>
      <c r="D69" s="310"/>
      <c r="E69" s="311"/>
    </row>
    <row r="70" spans="1:5" x14ac:dyDescent="0.25">
      <c r="A70" s="309"/>
      <c r="B70" s="310"/>
      <c r="C70" s="310"/>
      <c r="D70" s="310"/>
      <c r="E70" s="311"/>
    </row>
    <row r="71" spans="1:5" x14ac:dyDescent="0.25">
      <c r="A71" s="309" t="s">
        <v>272</v>
      </c>
      <c r="B71" s="310"/>
      <c r="C71" s="310"/>
      <c r="D71" s="310"/>
      <c r="E71" s="311"/>
    </row>
    <row r="72" spans="1:5" x14ac:dyDescent="0.25">
      <c r="A72" s="309">
        <f>_Inciso_Vigilancia</f>
        <v>0</v>
      </c>
      <c r="B72" s="310"/>
      <c r="C72" s="310"/>
      <c r="D72" s="310"/>
      <c r="E72" s="311"/>
    </row>
    <row r="73" spans="1:5" x14ac:dyDescent="0.25">
      <c r="A73" s="309" t="s">
        <v>273</v>
      </c>
      <c r="B73" s="310"/>
      <c r="C73" s="310"/>
      <c r="D73" s="310"/>
      <c r="E73" s="311"/>
    </row>
    <row r="74" spans="1:5" x14ac:dyDescent="0.25">
      <c r="A74" s="309"/>
      <c r="B74" s="310"/>
      <c r="C74" s="310"/>
      <c r="D74" s="310"/>
      <c r="E74" s="311"/>
    </row>
    <row r="75" spans="1:5" x14ac:dyDescent="0.25">
      <c r="A75" s="309" t="s">
        <v>274</v>
      </c>
      <c r="B75" s="310"/>
      <c r="C75" s="310"/>
      <c r="D75" s="310"/>
      <c r="E75" s="311"/>
    </row>
    <row r="76" spans="1:5" x14ac:dyDescent="0.25">
      <c r="A76" s="309"/>
      <c r="B76" s="310"/>
      <c r="C76" s="310"/>
      <c r="D76" s="310"/>
      <c r="E76" s="311"/>
    </row>
    <row r="77" spans="1:5" x14ac:dyDescent="0.25">
      <c r="A77" s="309" t="s">
        <v>275</v>
      </c>
      <c r="B77" s="310"/>
      <c r="C77" s="310"/>
      <c r="D77" s="310"/>
      <c r="E77" s="311"/>
    </row>
    <row r="78" spans="1:5" x14ac:dyDescent="0.25">
      <c r="A78" s="309"/>
      <c r="B78" s="310"/>
      <c r="C78" s="310"/>
      <c r="D78" s="310"/>
      <c r="E78" s="311"/>
    </row>
    <row r="79" spans="1:5" x14ac:dyDescent="0.25">
      <c r="A79" s="309" t="s">
        <v>276</v>
      </c>
      <c r="B79" s="310"/>
      <c r="C79" s="310"/>
      <c r="D79" s="310"/>
      <c r="E79" s="311"/>
    </row>
    <row r="80" spans="1:5" x14ac:dyDescent="0.25">
      <c r="A80" s="309"/>
      <c r="B80" s="310"/>
      <c r="C80" s="310"/>
      <c r="D80" s="310"/>
      <c r="E80" s="311"/>
    </row>
    <row r="81" spans="1:5" x14ac:dyDescent="0.25">
      <c r="A81" s="309" t="s">
        <v>277</v>
      </c>
      <c r="B81" s="310"/>
      <c r="C81" s="310"/>
      <c r="D81" s="310"/>
      <c r="E81" s="311"/>
    </row>
    <row r="82" spans="1:5" x14ac:dyDescent="0.25">
      <c r="A82" s="309" t="s">
        <v>278</v>
      </c>
      <c r="B82" s="310"/>
      <c r="C82" s="310"/>
      <c r="D82" s="310"/>
      <c r="E82" s="311"/>
    </row>
    <row r="83" spans="1:5" x14ac:dyDescent="0.25">
      <c r="A83" s="309" t="s">
        <v>279</v>
      </c>
      <c r="B83" s="310"/>
      <c r="C83" s="310"/>
      <c r="D83" s="310"/>
      <c r="E83" s="311"/>
    </row>
    <row r="84" spans="1:5" x14ac:dyDescent="0.25">
      <c r="A84" s="309"/>
      <c r="B84" s="310"/>
      <c r="C84" s="310"/>
      <c r="D84" s="310"/>
      <c r="E84" s="311"/>
    </row>
    <row r="85" spans="1:5" x14ac:dyDescent="0.25">
      <c r="A85" s="318" t="s">
        <v>280</v>
      </c>
      <c r="B85" s="319"/>
      <c r="C85" s="319"/>
      <c r="D85" s="319"/>
      <c r="E85" s="320"/>
    </row>
    <row r="86" spans="1:5" x14ac:dyDescent="0.25">
      <c r="A86" s="318"/>
      <c r="B86" s="319"/>
      <c r="C86" s="319"/>
      <c r="D86" s="319"/>
      <c r="E86" s="320"/>
    </row>
    <row r="87" spans="1:5" x14ac:dyDescent="0.25">
      <c r="A87" s="196" t="s">
        <v>281</v>
      </c>
      <c r="B87" s="197"/>
      <c r="C87" s="197"/>
      <c r="D87" s="197"/>
      <c r="E87" s="198"/>
    </row>
    <row r="88" spans="1:5" x14ac:dyDescent="0.25">
      <c r="A88" s="321" t="s">
        <v>282</v>
      </c>
      <c r="B88" s="322"/>
      <c r="C88" s="322"/>
      <c r="D88" s="322"/>
      <c r="E88" s="323"/>
    </row>
    <row r="89" spans="1:5" x14ac:dyDescent="0.25">
      <c r="A89" s="321"/>
      <c r="B89" s="322"/>
      <c r="C89" s="322"/>
      <c r="D89" s="322"/>
      <c r="E89" s="323"/>
    </row>
    <row r="90" spans="1:5" x14ac:dyDescent="0.25">
      <c r="A90" s="321"/>
      <c r="B90" s="322"/>
      <c r="C90" s="322"/>
      <c r="D90" s="322"/>
      <c r="E90" s="323"/>
    </row>
    <row r="91" spans="1:5" x14ac:dyDescent="0.25">
      <c r="A91" s="324" t="s">
        <v>283</v>
      </c>
      <c r="B91" s="325"/>
      <c r="C91" s="325"/>
      <c r="D91" s="325"/>
      <c r="E91" s="326"/>
    </row>
    <row r="92" spans="1:5" x14ac:dyDescent="0.25">
      <c r="A92" s="327"/>
      <c r="B92" s="325"/>
      <c r="C92" s="325"/>
      <c r="D92" s="325"/>
      <c r="E92" s="326"/>
    </row>
    <row r="93" spans="1:5" x14ac:dyDescent="0.25">
      <c r="A93" s="327"/>
      <c r="B93" s="325"/>
      <c r="C93" s="325"/>
      <c r="D93" s="325"/>
      <c r="E93" s="326"/>
    </row>
    <row r="94" spans="1:5" x14ac:dyDescent="0.25">
      <c r="A94" s="328"/>
      <c r="B94" s="329"/>
      <c r="C94" s="329"/>
      <c r="D94" s="329"/>
      <c r="E94" s="330"/>
    </row>
    <row r="95" spans="1:5" x14ac:dyDescent="0.25">
      <c r="A95" s="343" t="s">
        <v>284</v>
      </c>
      <c r="B95" s="344"/>
      <c r="C95" s="344"/>
      <c r="D95" s="344"/>
      <c r="E95" s="345"/>
    </row>
    <row r="96" spans="1:5" x14ac:dyDescent="0.25">
      <c r="A96" s="346"/>
      <c r="B96" s="347"/>
      <c r="C96" s="347"/>
      <c r="D96" s="347"/>
      <c r="E96" s="348"/>
    </row>
    <row r="97" spans="1:5" x14ac:dyDescent="0.25">
      <c r="A97" s="349" t="s">
        <v>285</v>
      </c>
      <c r="B97" s="350"/>
      <c r="C97" s="350"/>
      <c r="D97" s="350"/>
      <c r="E97" s="351"/>
    </row>
    <row r="98" spans="1:5" x14ac:dyDescent="0.25">
      <c r="A98" s="352"/>
      <c r="B98" s="353"/>
      <c r="C98" s="353"/>
      <c r="D98" s="353"/>
      <c r="E98" s="354"/>
    </row>
    <row r="99" spans="1:5" x14ac:dyDescent="0.25">
      <c r="A99" s="346" t="s">
        <v>286</v>
      </c>
      <c r="B99" s="347"/>
      <c r="C99" s="347"/>
      <c r="D99" s="347"/>
      <c r="E99" s="348"/>
    </row>
    <row r="100" spans="1:5" x14ac:dyDescent="0.25">
      <c r="A100" s="355" t="s">
        <v>287</v>
      </c>
      <c r="B100" s="356"/>
      <c r="C100" s="356"/>
      <c r="D100" s="356"/>
      <c r="E100" s="357"/>
    </row>
    <row r="101" spans="1:5" x14ac:dyDescent="0.25">
      <c r="A101" s="265"/>
      <c r="B101" s="266"/>
      <c r="C101" s="266"/>
      <c r="D101" s="266"/>
      <c r="E101" s="267"/>
    </row>
    <row r="102" spans="1:5" x14ac:dyDescent="0.25">
      <c r="A102" s="265"/>
      <c r="B102" s="266"/>
      <c r="C102" s="266"/>
      <c r="D102" s="266"/>
      <c r="E102" s="267"/>
    </row>
    <row r="103" spans="1:5" x14ac:dyDescent="0.25">
      <c r="A103" s="265"/>
      <c r="B103" s="266"/>
      <c r="C103" s="266"/>
      <c r="D103" s="266"/>
      <c r="E103" s="267"/>
    </row>
    <row r="104" spans="1:5" x14ac:dyDescent="0.25">
      <c r="A104" s="358"/>
      <c r="B104" s="359"/>
      <c r="C104" s="359"/>
      <c r="D104" s="359"/>
      <c r="E104" s="360"/>
    </row>
    <row r="105" spans="1:5" x14ac:dyDescent="0.25">
      <c r="A105" s="361" t="s">
        <v>288</v>
      </c>
      <c r="B105" s="362"/>
      <c r="C105" s="362"/>
      <c r="D105" s="362"/>
      <c r="E105" s="363"/>
    </row>
    <row r="106" spans="1:5" x14ac:dyDescent="0.25">
      <c r="A106" s="265" t="s">
        <v>289</v>
      </c>
      <c r="B106" s="266"/>
      <c r="C106" s="266"/>
      <c r="D106" s="266"/>
      <c r="E106" s="267"/>
    </row>
    <row r="107" spans="1:5" x14ac:dyDescent="0.25">
      <c r="A107" s="265"/>
      <c r="B107" s="266"/>
      <c r="C107" s="266"/>
      <c r="D107" s="266"/>
      <c r="E107" s="267"/>
    </row>
    <row r="108" spans="1:5" x14ac:dyDescent="0.25">
      <c r="A108" s="265"/>
      <c r="B108" s="266"/>
      <c r="C108" s="266"/>
      <c r="D108" s="266"/>
      <c r="E108" s="267"/>
    </row>
    <row r="109" spans="1:5" x14ac:dyDescent="0.25">
      <c r="A109" s="265" t="s">
        <v>290</v>
      </c>
      <c r="B109" s="266"/>
      <c r="C109" s="266"/>
      <c r="D109" s="266"/>
      <c r="E109" s="267"/>
    </row>
    <row r="110" spans="1:5" x14ac:dyDescent="0.25">
      <c r="A110" s="265"/>
      <c r="B110" s="266"/>
      <c r="C110" s="266"/>
      <c r="D110" s="266"/>
      <c r="E110" s="267"/>
    </row>
    <row r="111" spans="1:5" x14ac:dyDescent="0.25">
      <c r="A111" s="265"/>
      <c r="B111" s="266"/>
      <c r="C111" s="266"/>
      <c r="D111" s="266"/>
      <c r="E111" s="267"/>
    </row>
    <row r="112" spans="1:5" x14ac:dyDescent="0.25">
      <c r="A112" s="265" t="s">
        <v>291</v>
      </c>
      <c r="B112" s="266"/>
      <c r="C112" s="266"/>
      <c r="D112" s="266"/>
      <c r="E112" s="267"/>
    </row>
    <row r="113" spans="1:9" x14ac:dyDescent="0.25">
      <c r="A113" s="265"/>
      <c r="B113" s="266"/>
      <c r="C113" s="266"/>
      <c r="D113" s="266"/>
      <c r="E113" s="267"/>
    </row>
    <row r="114" spans="1:9" x14ac:dyDescent="0.25">
      <c r="A114" s="199" t="s">
        <v>292</v>
      </c>
      <c r="B114" s="200"/>
      <c r="C114" s="200"/>
      <c r="D114" s="200"/>
      <c r="E114" s="201"/>
    </row>
    <row r="115" spans="1:9" x14ac:dyDescent="0.25">
      <c r="A115" s="265" t="s">
        <v>293</v>
      </c>
      <c r="B115" s="266"/>
      <c r="C115" s="266"/>
      <c r="D115" s="266"/>
      <c r="E115" s="267"/>
    </row>
    <row r="116" spans="1:9" x14ac:dyDescent="0.25">
      <c r="A116" s="265"/>
      <c r="B116" s="266"/>
      <c r="C116" s="266"/>
      <c r="D116" s="266"/>
      <c r="E116" s="267"/>
    </row>
    <row r="117" spans="1:9" x14ac:dyDescent="0.25">
      <c r="A117" s="265"/>
      <c r="B117" s="266"/>
      <c r="C117" s="266"/>
      <c r="D117" s="266"/>
      <c r="E117" s="267"/>
    </row>
    <row r="118" spans="1:9" x14ac:dyDescent="0.25">
      <c r="A118" s="265" t="s">
        <v>294</v>
      </c>
      <c r="B118" s="266"/>
      <c r="C118" s="266"/>
      <c r="D118" s="266"/>
      <c r="E118" s="267"/>
    </row>
    <row r="119" spans="1:9" x14ac:dyDescent="0.25">
      <c r="A119" s="265"/>
      <c r="B119" s="266"/>
      <c r="C119" s="266"/>
      <c r="D119" s="266"/>
      <c r="E119" s="267"/>
    </row>
    <row r="120" spans="1:9" x14ac:dyDescent="0.25">
      <c r="A120" s="331" t="s">
        <v>295</v>
      </c>
      <c r="B120" s="332"/>
      <c r="C120" s="332"/>
      <c r="D120" s="332"/>
      <c r="E120" s="333"/>
    </row>
    <row r="121" spans="1:9" x14ac:dyDescent="0.25">
      <c r="A121" s="334"/>
      <c r="B121" s="335"/>
      <c r="C121" s="335"/>
      <c r="D121" s="335"/>
      <c r="E121" s="336"/>
      <c r="I121" s="126" t="str">
        <f>IF([3]Simulador!$F$19=180,$I$122,IF([3]Simulador!$F$19=240,$I$123,))</f>
        <v>Tasa de Interés Anual Inicial del 11.3%, pago al millar inicial de $9.57 con ajuste anual del 2.12%, este incremento anual del pago al millar se aplica directamente al capital del crédito.</v>
      </c>
    </row>
    <row r="122" spans="1:9" x14ac:dyDescent="0.25">
      <c r="A122" s="337">
        <f>IF([3]Simulador!$F$11='[3]Tabla Parámetros'!$O$4,'Oferta Vinculante'!$I$121,'Oferta Vinculante'!$I$120)</f>
        <v>0</v>
      </c>
      <c r="B122" s="338"/>
      <c r="C122" s="338"/>
      <c r="D122" s="338"/>
      <c r="E122" s="339"/>
      <c r="I122" s="126" t="s">
        <v>296</v>
      </c>
    </row>
    <row r="123" spans="1:9" x14ac:dyDescent="0.25">
      <c r="A123" s="340"/>
      <c r="B123" s="341"/>
      <c r="C123" s="341"/>
      <c r="D123" s="341"/>
      <c r="E123" s="342"/>
      <c r="I123" s="126" t="s">
        <v>297</v>
      </c>
    </row>
    <row r="124" spans="1:9" x14ac:dyDescent="0.25">
      <c r="A124" s="379" t="s">
        <v>298</v>
      </c>
      <c r="B124" s="380"/>
      <c r="C124" s="380"/>
      <c r="D124" s="380"/>
      <c r="E124" s="381"/>
    </row>
    <row r="125" spans="1:9" x14ac:dyDescent="0.25">
      <c r="A125" s="379"/>
      <c r="B125" s="380"/>
      <c r="C125" s="380"/>
      <c r="D125" s="380"/>
      <c r="E125" s="381"/>
    </row>
    <row r="126" spans="1:9" x14ac:dyDescent="0.25">
      <c r="A126" s="379"/>
      <c r="B126" s="380"/>
      <c r="C126" s="380"/>
      <c r="D126" s="380"/>
      <c r="E126" s="381"/>
    </row>
    <row r="127" spans="1:9" x14ac:dyDescent="0.25">
      <c r="A127" s="379"/>
      <c r="B127" s="380"/>
      <c r="C127" s="380"/>
      <c r="D127" s="380"/>
      <c r="E127" s="381"/>
    </row>
    <row r="128" spans="1:9" x14ac:dyDescent="0.25">
      <c r="A128" s="202"/>
      <c r="B128" s="161"/>
      <c r="C128" s="161"/>
      <c r="D128" s="161"/>
      <c r="E128" s="159"/>
    </row>
    <row r="129" spans="1:5" x14ac:dyDescent="0.25">
      <c r="A129" s="160"/>
      <c r="B129" s="161"/>
      <c r="C129" s="161"/>
      <c r="D129" s="203" t="str">
        <f>D3</f>
        <v>monterrey</v>
      </c>
      <c r="E129" s="204">
        <f ca="1">E3</f>
        <v>45705</v>
      </c>
    </row>
    <row r="130" spans="1:5" x14ac:dyDescent="0.25">
      <c r="A130" s="160"/>
      <c r="B130" s="161"/>
      <c r="C130" s="161"/>
      <c r="D130" s="205"/>
      <c r="E130" s="206"/>
    </row>
    <row r="131" spans="1:5" x14ac:dyDescent="0.25">
      <c r="A131" s="364" t="s">
        <v>299</v>
      </c>
      <c r="B131" s="365"/>
      <c r="C131" s="365"/>
      <c r="D131" s="365"/>
      <c r="E131" s="366"/>
    </row>
    <row r="132" spans="1:5" x14ac:dyDescent="0.25">
      <c r="A132" s="207"/>
      <c r="B132" s="162"/>
      <c r="C132" s="162"/>
      <c r="D132" s="162"/>
      <c r="E132" s="208"/>
    </row>
    <row r="133" spans="1:5" x14ac:dyDescent="0.25">
      <c r="A133" s="160"/>
      <c r="B133" s="161"/>
      <c r="C133" s="161"/>
      <c r="D133" s="205"/>
      <c r="E133" s="206"/>
    </row>
    <row r="134" spans="1:5" x14ac:dyDescent="0.25">
      <c r="A134" s="160"/>
      <c r="B134" s="161"/>
      <c r="C134" s="161"/>
      <c r="D134" s="205"/>
      <c r="E134" s="206"/>
    </row>
    <row r="135" spans="1:5" x14ac:dyDescent="0.25">
      <c r="A135" s="382" t="s">
        <v>300</v>
      </c>
      <c r="B135" s="383"/>
      <c r="C135" s="161"/>
      <c r="D135" s="383" t="s">
        <v>300</v>
      </c>
      <c r="E135" s="384"/>
    </row>
    <row r="136" spans="1:5" x14ac:dyDescent="0.25">
      <c r="A136" s="385" t="s">
        <v>301</v>
      </c>
      <c r="B136" s="386"/>
      <c r="C136" s="161"/>
      <c r="D136" s="386" t="s">
        <v>301</v>
      </c>
      <c r="E136" s="387"/>
    </row>
    <row r="137" spans="1:5" x14ac:dyDescent="0.25">
      <c r="A137" s="160"/>
      <c r="B137" s="161"/>
      <c r="C137" s="161"/>
      <c r="D137" s="209"/>
      <c r="E137" s="210"/>
    </row>
    <row r="138" spans="1:5" x14ac:dyDescent="0.25">
      <c r="A138" s="364" t="s">
        <v>302</v>
      </c>
      <c r="B138" s="365"/>
      <c r="C138" s="365"/>
      <c r="D138" s="365"/>
      <c r="E138" s="366"/>
    </row>
    <row r="139" spans="1:5" x14ac:dyDescent="0.25">
      <c r="A139" s="367"/>
      <c r="B139" s="368"/>
      <c r="C139" s="368"/>
      <c r="D139" s="368"/>
      <c r="E139" s="369"/>
    </row>
    <row r="140" spans="1:5" x14ac:dyDescent="0.25">
      <c r="A140" s="367"/>
      <c r="B140" s="368"/>
      <c r="C140" s="368"/>
      <c r="D140" s="368"/>
      <c r="E140" s="369"/>
    </row>
    <row r="141" spans="1:5" x14ac:dyDescent="0.25">
      <c r="A141" s="160"/>
      <c r="B141" s="161"/>
      <c r="C141" s="161"/>
      <c r="D141" s="161"/>
      <c r="E141" s="159"/>
    </row>
    <row r="142" spans="1:5" x14ac:dyDescent="0.25">
      <c r="A142" s="370" t="s">
        <v>303</v>
      </c>
      <c r="B142" s="371"/>
      <c r="C142" s="371"/>
      <c r="D142" s="371"/>
      <c r="E142" s="372"/>
    </row>
    <row r="143" spans="1:5" x14ac:dyDescent="0.25">
      <c r="A143" s="364" t="s">
        <v>304</v>
      </c>
      <c r="B143" s="365"/>
      <c r="C143" s="365"/>
      <c r="D143" s="365"/>
      <c r="E143" s="366"/>
    </row>
    <row r="144" spans="1:5" x14ac:dyDescent="0.25">
      <c r="A144" s="207"/>
      <c r="B144" s="162"/>
      <c r="C144" s="162"/>
      <c r="D144" s="162"/>
      <c r="E144" s="211"/>
    </row>
    <row r="145" spans="1:5" x14ac:dyDescent="0.25">
      <c r="A145" s="373" t="s">
        <v>292</v>
      </c>
      <c r="B145" s="374"/>
      <c r="C145" s="374"/>
      <c r="D145" s="374"/>
      <c r="E145" s="375"/>
    </row>
    <row r="146" spans="1:5" x14ac:dyDescent="0.25">
      <c r="A146" s="212"/>
      <c r="B146" s="213"/>
      <c r="C146" s="213"/>
      <c r="D146" s="213"/>
      <c r="E146" s="214"/>
    </row>
    <row r="147" spans="1:5" x14ac:dyDescent="0.25">
      <c r="A147" s="376" t="s">
        <v>305</v>
      </c>
      <c r="B147" s="377"/>
      <c r="C147" s="377"/>
      <c r="D147" s="377"/>
      <c r="E147" s="378"/>
    </row>
    <row r="148" spans="1:5" x14ac:dyDescent="0.25">
      <c r="A148" s="376"/>
      <c r="B148" s="377"/>
      <c r="C148" s="377"/>
      <c r="D148" s="377"/>
      <c r="E148" s="378"/>
    </row>
    <row r="149" spans="1:5" x14ac:dyDescent="0.25">
      <c r="A149" s="376"/>
      <c r="B149" s="377"/>
      <c r="C149" s="377"/>
      <c r="D149" s="377"/>
      <c r="E149" s="378"/>
    </row>
    <row r="150" spans="1:5" x14ac:dyDescent="0.25">
      <c r="A150" s="376" t="s">
        <v>306</v>
      </c>
      <c r="B150" s="377"/>
      <c r="C150" s="377"/>
      <c r="D150" s="377"/>
      <c r="E150" s="378"/>
    </row>
    <row r="151" spans="1:5" x14ac:dyDescent="0.25">
      <c r="A151" s="376"/>
      <c r="B151" s="377"/>
      <c r="C151" s="377"/>
      <c r="D151" s="377"/>
      <c r="E151" s="378"/>
    </row>
    <row r="152" spans="1:5" x14ac:dyDescent="0.25">
      <c r="A152" s="376" t="s">
        <v>307</v>
      </c>
      <c r="B152" s="377"/>
      <c r="C152" s="377"/>
      <c r="D152" s="377"/>
      <c r="E152" s="378"/>
    </row>
    <row r="153" spans="1:5" x14ac:dyDescent="0.25">
      <c r="A153" s="376"/>
      <c r="B153" s="377"/>
      <c r="C153" s="377"/>
      <c r="D153" s="377"/>
      <c r="E153" s="378"/>
    </row>
    <row r="154" spans="1:5" x14ac:dyDescent="0.25">
      <c r="A154" s="376"/>
      <c r="B154" s="377"/>
      <c r="C154" s="377"/>
      <c r="D154" s="377"/>
      <c r="E154" s="378"/>
    </row>
    <row r="155" spans="1:5" x14ac:dyDescent="0.25">
      <c r="A155" s="376" t="s">
        <v>308</v>
      </c>
      <c r="B155" s="377"/>
      <c r="C155" s="377"/>
      <c r="D155" s="377"/>
      <c r="E155" s="378"/>
    </row>
    <row r="156" spans="1:5" x14ac:dyDescent="0.25">
      <c r="A156" s="376"/>
      <c r="B156" s="377"/>
      <c r="C156" s="377"/>
      <c r="D156" s="377"/>
      <c r="E156" s="378"/>
    </row>
    <row r="157" spans="1:5" x14ac:dyDescent="0.25">
      <c r="A157" s="376"/>
      <c r="B157" s="377"/>
      <c r="C157" s="377"/>
      <c r="D157" s="377"/>
      <c r="E157" s="378"/>
    </row>
    <row r="158" spans="1:5" x14ac:dyDescent="0.25">
      <c r="A158" s="376" t="s">
        <v>309</v>
      </c>
      <c r="B158" s="377"/>
      <c r="C158" s="377"/>
      <c r="D158" s="377"/>
      <c r="E158" s="378"/>
    </row>
    <row r="159" spans="1:5" x14ac:dyDescent="0.25">
      <c r="A159" s="376"/>
      <c r="B159" s="377"/>
      <c r="C159" s="377"/>
      <c r="D159" s="377"/>
      <c r="E159" s="378"/>
    </row>
    <row r="160" spans="1:5" x14ac:dyDescent="0.25">
      <c r="A160" s="376"/>
      <c r="B160" s="377"/>
      <c r="C160" s="377"/>
      <c r="D160" s="377"/>
      <c r="E160" s="378"/>
    </row>
    <row r="161" spans="1:5" x14ac:dyDescent="0.25">
      <c r="A161" s="376" t="s">
        <v>310</v>
      </c>
      <c r="B161" s="377"/>
      <c r="C161" s="377"/>
      <c r="D161" s="377"/>
      <c r="E161" s="378"/>
    </row>
    <row r="162" spans="1:5" x14ac:dyDescent="0.25">
      <c r="A162" s="376"/>
      <c r="B162" s="377"/>
      <c r="C162" s="377"/>
      <c r="D162" s="377"/>
      <c r="E162" s="378"/>
    </row>
    <row r="163" spans="1:5" x14ac:dyDescent="0.25">
      <c r="A163" s="376"/>
      <c r="B163" s="377"/>
      <c r="C163" s="377"/>
      <c r="D163" s="377"/>
      <c r="E163" s="378"/>
    </row>
    <row r="164" spans="1:5" x14ac:dyDescent="0.25">
      <c r="A164" s="376" t="s">
        <v>311</v>
      </c>
      <c r="B164" s="377"/>
      <c r="C164" s="377"/>
      <c r="D164" s="377"/>
      <c r="E164" s="378"/>
    </row>
    <row r="165" spans="1:5" x14ac:dyDescent="0.25">
      <c r="A165" s="376"/>
      <c r="B165" s="377"/>
      <c r="C165" s="377"/>
      <c r="D165" s="377"/>
      <c r="E165" s="378"/>
    </row>
    <row r="166" spans="1:5" x14ac:dyDescent="0.25">
      <c r="A166" s="376"/>
      <c r="B166" s="377"/>
      <c r="C166" s="377"/>
      <c r="D166" s="377"/>
      <c r="E166" s="378"/>
    </row>
    <row r="167" spans="1:5" x14ac:dyDescent="0.25">
      <c r="A167" s="202"/>
      <c r="B167" s="176"/>
      <c r="C167" s="176"/>
      <c r="D167" s="176"/>
      <c r="E167" s="177"/>
    </row>
    <row r="168" spans="1:5" x14ac:dyDescent="0.25">
      <c r="A168" s="202"/>
      <c r="B168" s="176"/>
      <c r="C168" s="176"/>
      <c r="D168" s="215" t="str">
        <f>D129</f>
        <v>monterrey</v>
      </c>
      <c r="E168" s="216">
        <f ca="1">E129</f>
        <v>45705</v>
      </c>
    </row>
    <row r="169" spans="1:5" x14ac:dyDescent="0.25">
      <c r="A169" s="202"/>
      <c r="B169" s="176"/>
      <c r="C169" s="176"/>
      <c r="D169" s="176"/>
      <c r="E169" s="177"/>
    </row>
    <row r="170" spans="1:5" x14ac:dyDescent="0.25">
      <c r="A170" s="388" t="s">
        <v>312</v>
      </c>
      <c r="B170" s="389"/>
      <c r="C170" s="389"/>
      <c r="D170" s="389"/>
      <c r="E170" s="390"/>
    </row>
    <row r="171" spans="1:5" x14ac:dyDescent="0.25">
      <c r="A171" s="202"/>
      <c r="B171" s="176"/>
      <c r="C171" s="176"/>
      <c r="D171" s="176"/>
      <c r="E171" s="177"/>
    </row>
    <row r="172" spans="1:5" x14ac:dyDescent="0.25">
      <c r="A172" s="202"/>
      <c r="B172" s="176"/>
      <c r="C172" s="176"/>
      <c r="D172" s="176"/>
      <c r="E172" s="177"/>
    </row>
    <row r="173" spans="1:5" x14ac:dyDescent="0.25">
      <c r="A173" s="202"/>
      <c r="B173" s="176"/>
      <c r="C173" s="176"/>
      <c r="D173" s="176"/>
      <c r="E173" s="177"/>
    </row>
    <row r="174" spans="1:5" x14ac:dyDescent="0.25">
      <c r="A174" s="391" t="s">
        <v>303</v>
      </c>
      <c r="B174" s="392"/>
      <c r="C174" s="392"/>
      <c r="D174" s="392"/>
      <c r="E174" s="393"/>
    </row>
    <row r="175" spans="1:5" ht="15.75" thickBot="1" x14ac:dyDescent="0.3">
      <c r="A175" s="394" t="s">
        <v>304</v>
      </c>
      <c r="B175" s="395"/>
      <c r="C175" s="395"/>
      <c r="D175" s="395"/>
      <c r="E175" s="396"/>
    </row>
    <row r="176" spans="1:5" x14ac:dyDescent="0.25"/>
  </sheetData>
  <sheetProtection algorithmName="SHA-512" hashValue="tc/xlqu4YntLIeerpieaahRgx+fj25ZFiEydonHhBr+mBLm8dDjHPL3uVPx0IXKVJScUI+8Ci9g5ei4EFCifcw==" saltValue="24nhkA7yul/a40wme9gmeA==" spinCount="100000" sheet="1"/>
  <mergeCells count="101">
    <mergeCell ref="A170:E170"/>
    <mergeCell ref="A174:E174"/>
    <mergeCell ref="A175:E175"/>
    <mergeCell ref="A150:E151"/>
    <mergeCell ref="A152:E154"/>
    <mergeCell ref="A155:E157"/>
    <mergeCell ref="A158:E160"/>
    <mergeCell ref="A161:E163"/>
    <mergeCell ref="A164:E166"/>
    <mergeCell ref="A138:E138"/>
    <mergeCell ref="A139:E140"/>
    <mergeCell ref="A142:E142"/>
    <mergeCell ref="A143:E143"/>
    <mergeCell ref="A145:E145"/>
    <mergeCell ref="A147:E149"/>
    <mergeCell ref="A124:E127"/>
    <mergeCell ref="A131:E131"/>
    <mergeCell ref="A135:B135"/>
    <mergeCell ref="D135:E135"/>
    <mergeCell ref="A136:B136"/>
    <mergeCell ref="D136:E136"/>
    <mergeCell ref="A109:E111"/>
    <mergeCell ref="A112:E113"/>
    <mergeCell ref="A115:E117"/>
    <mergeCell ref="A118:E119"/>
    <mergeCell ref="A120:E121"/>
    <mergeCell ref="A122:E123"/>
    <mergeCell ref="A95:E96"/>
    <mergeCell ref="A97:E98"/>
    <mergeCell ref="A99:E99"/>
    <mergeCell ref="A100:E104"/>
    <mergeCell ref="A105:E105"/>
    <mergeCell ref="A106:E108"/>
    <mergeCell ref="A81:E81"/>
    <mergeCell ref="A82:E82"/>
    <mergeCell ref="A83:E84"/>
    <mergeCell ref="A85:E86"/>
    <mergeCell ref="A88:E90"/>
    <mergeCell ref="A91:E94"/>
    <mergeCell ref="A71:E71"/>
    <mergeCell ref="A72:E72"/>
    <mergeCell ref="A73:E74"/>
    <mergeCell ref="A75:E76"/>
    <mergeCell ref="A77:E78"/>
    <mergeCell ref="A79:E80"/>
    <mergeCell ref="A57:E57"/>
    <mergeCell ref="A58:E58"/>
    <mergeCell ref="A60:E63"/>
    <mergeCell ref="A64:E65"/>
    <mergeCell ref="A66:E67"/>
    <mergeCell ref="A68:E70"/>
    <mergeCell ref="A50:A51"/>
    <mergeCell ref="B50:B51"/>
    <mergeCell ref="A53:E53"/>
    <mergeCell ref="A54:E54"/>
    <mergeCell ref="A55:E55"/>
    <mergeCell ref="A56:E56"/>
    <mergeCell ref="D42:E42"/>
    <mergeCell ref="D43:E43"/>
    <mergeCell ref="D45:E45"/>
    <mergeCell ref="A46:A47"/>
    <mergeCell ref="B46:B47"/>
    <mergeCell ref="I46:I51"/>
    <mergeCell ref="D47:D52"/>
    <mergeCell ref="A48:A49"/>
    <mergeCell ref="B48:B49"/>
    <mergeCell ref="E48:E52"/>
    <mergeCell ref="D37:E37"/>
    <mergeCell ref="K37:L37"/>
    <mergeCell ref="D38:E38"/>
    <mergeCell ref="D39:D40"/>
    <mergeCell ref="E39:E40"/>
    <mergeCell ref="A40:A41"/>
    <mergeCell ref="B40:B41"/>
    <mergeCell ref="D41:E41"/>
    <mergeCell ref="D34:E34"/>
    <mergeCell ref="K34:L34"/>
    <mergeCell ref="D35:E35"/>
    <mergeCell ref="K35:L35"/>
    <mergeCell ref="D36:E36"/>
    <mergeCell ref="K36:L36"/>
    <mergeCell ref="D32:E32"/>
    <mergeCell ref="K32:L32"/>
    <mergeCell ref="D33:E33"/>
    <mergeCell ref="K33:L33"/>
    <mergeCell ref="A13:E14"/>
    <mergeCell ref="A15:B15"/>
    <mergeCell ref="D15:E15"/>
    <mergeCell ref="D16:D22"/>
    <mergeCell ref="E16:E22"/>
    <mergeCell ref="A24:B24"/>
    <mergeCell ref="D24:E24"/>
    <mergeCell ref="A2:E2"/>
    <mergeCell ref="A3:B3"/>
    <mergeCell ref="A5:E5"/>
    <mergeCell ref="A6:C6"/>
    <mergeCell ref="B7:E7"/>
    <mergeCell ref="A8:E12"/>
    <mergeCell ref="A31:B31"/>
    <mergeCell ref="D31:E31"/>
    <mergeCell ref="K31:L31"/>
  </mergeCells>
  <conditionalFormatting sqref="B40:B41">
    <cfRule type="expression" dxfId="2" priority="2">
      <formula>OR(ixProducto=C_,Destino=Liquidez,Destino=Terreno)</formula>
    </cfRule>
  </conditionalFormatting>
  <conditionalFormatting sqref="D41:E43">
    <cfRule type="expression" dxfId="1" priority="1">
      <formula>Destino=Construcción</formula>
    </cfRule>
  </conditionalFormatting>
  <pageMargins left="0.7" right="0.7" top="0.75" bottom="0.75" header="0.3" footer="0.3"/>
  <pageSetup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07559-2AED-4E25-BCDE-0EF6BC2137BB}">
  <sheetPr codeName="Hoja6"/>
  <dimension ref="A1:N363"/>
  <sheetViews>
    <sheetView workbookViewId="0">
      <selection activeCell="G17" sqref="G17"/>
    </sheetView>
  </sheetViews>
  <sheetFormatPr baseColWidth="10" defaultColWidth="11.42578125" defaultRowHeight="11.25" x14ac:dyDescent="0.2"/>
  <cols>
    <col min="1" max="1" width="19" style="24" bestFit="1" customWidth="1"/>
    <col min="2" max="2" width="11.42578125" style="24"/>
    <col min="3" max="3" width="8.7109375" style="24" bestFit="1" customWidth="1"/>
    <col min="4" max="4" width="4.42578125" style="24" bestFit="1" customWidth="1"/>
    <col min="5" max="5" width="5.28515625" style="24" customWidth="1"/>
    <col min="6" max="6" width="10.28515625" style="24" bestFit="1" customWidth="1"/>
    <col min="7" max="9" width="11.42578125" style="24"/>
    <col min="10" max="11" width="13.42578125" style="24" bestFit="1" customWidth="1"/>
    <col min="12" max="12" width="16.140625" style="24" bestFit="1" customWidth="1"/>
    <col min="13" max="16384" width="11.42578125" style="24"/>
  </cols>
  <sheetData>
    <row r="1" spans="1:14" x14ac:dyDescent="0.2">
      <c r="A1" s="24" t="s">
        <v>84</v>
      </c>
      <c r="B1" s="25">
        <v>3</v>
      </c>
      <c r="D1" s="26"/>
      <c r="E1" s="27"/>
      <c r="F1" s="24" t="s">
        <v>85</v>
      </c>
      <c r="G1" s="24" t="s">
        <v>14</v>
      </c>
      <c r="H1" s="28">
        <f>Carátula!$H$29</f>
        <v>240</v>
      </c>
      <c r="J1" s="29"/>
      <c r="L1" s="30"/>
    </row>
    <row r="2" spans="1:14" x14ac:dyDescent="0.2">
      <c r="A2" s="24" t="s">
        <v>86</v>
      </c>
      <c r="B2" s="31">
        <f ca="1">Carátula!$F$7</f>
        <v>45705</v>
      </c>
      <c r="E2" s="32"/>
      <c r="F2" s="24" t="s">
        <v>87</v>
      </c>
      <c r="G2" s="24" t="s">
        <v>88</v>
      </c>
      <c r="H2" s="24">
        <v>30.4</v>
      </c>
      <c r="N2" s="24">
        <f ca="1">IF(OR(B3=30,B3=31),30,0)</f>
        <v>0</v>
      </c>
    </row>
    <row r="3" spans="1:14" x14ac:dyDescent="0.2">
      <c r="A3" s="24" t="s">
        <v>89</v>
      </c>
      <c r="B3" s="33">
        <f ca="1">DAY($B$2)</f>
        <v>17</v>
      </c>
      <c r="C3" s="32">
        <f ca="1">B3</f>
        <v>17</v>
      </c>
      <c r="D3" s="32">
        <f ca="1">$B3-$C3</f>
        <v>0</v>
      </c>
      <c r="J3" s="34"/>
      <c r="K3" s="35">
        <f ca="1">B2</f>
        <v>45705</v>
      </c>
      <c r="L3" s="36" t="s">
        <v>90</v>
      </c>
    </row>
    <row r="4" spans="1:14" x14ac:dyDescent="0.2">
      <c r="A4" s="24" t="s">
        <v>91</v>
      </c>
      <c r="B4" s="33">
        <f ca="1">MONTH($B$2)</f>
        <v>2</v>
      </c>
      <c r="C4" s="32">
        <f ca="1">B4</f>
        <v>2</v>
      </c>
      <c r="D4" s="32">
        <f ca="1">$B4-$C4</f>
        <v>0</v>
      </c>
      <c r="J4" s="37">
        <v>1</v>
      </c>
      <c r="K4" s="38">
        <f ca="1">IF(($J$4:$J$363)&lt;=$H$1,(EOMONTH(K3,0)+$B$6+N2))</f>
        <v>45719</v>
      </c>
      <c r="L4" s="39">
        <f ca="1">$K$1:$K$363 - $B$2 + 1</f>
        <v>15</v>
      </c>
    </row>
    <row r="5" spans="1:14" x14ac:dyDescent="0.2">
      <c r="A5" s="24" t="s">
        <v>92</v>
      </c>
      <c r="B5" s="33">
        <f ca="1">YEAR($B$2)</f>
        <v>2025</v>
      </c>
      <c r="C5" s="32">
        <f ca="1">B5</f>
        <v>2025</v>
      </c>
      <c r="D5" s="32">
        <f ca="1">$B5-$C5</f>
        <v>0</v>
      </c>
      <c r="J5" s="37">
        <v>2</v>
      </c>
      <c r="K5" s="38">
        <f t="shared" ref="K5:K68" ca="1" si="0">IF(($J$4:$J$363)&lt;=$H$1,(EOMONTH(K4,0)+$B$6))</f>
        <v>45750</v>
      </c>
      <c r="L5" s="40">
        <f>IF($J$4:$J$363 &lt;= $H$1,$H$2,"")</f>
        <v>30.4</v>
      </c>
    </row>
    <row r="6" spans="1:14" x14ac:dyDescent="0.2">
      <c r="A6" s="24" t="s">
        <v>93</v>
      </c>
      <c r="B6" s="25">
        <v>3</v>
      </c>
      <c r="D6" s="41" t="str">
        <f ca="1">IF(SUM($D$3:$D$5)&lt;&gt;0,"SI","NO")</f>
        <v>NO</v>
      </c>
      <c r="E6" s="24" t="s">
        <v>94</v>
      </c>
      <c r="J6" s="37">
        <v>3</v>
      </c>
      <c r="K6" s="38">
        <f t="shared" ca="1" si="0"/>
        <v>45780</v>
      </c>
      <c r="L6" s="40">
        <f>IF($J$4:$J$363 &lt;= $H$1,$H$2,"")</f>
        <v>30.4</v>
      </c>
    </row>
    <row r="7" spans="1:14" x14ac:dyDescent="0.2">
      <c r="A7" s="24" t="s">
        <v>95</v>
      </c>
      <c r="B7" s="42">
        <f ca="1">MONTH(B2)+1</f>
        <v>3</v>
      </c>
      <c r="J7" s="37">
        <v>4</v>
      </c>
      <c r="K7" s="38">
        <f t="shared" ca="1" si="0"/>
        <v>45811</v>
      </c>
      <c r="L7" s="40">
        <f t="shared" ref="L7:L70" si="1">IF($J$4:$J$363 &lt;= $H$1,$H$2,"")</f>
        <v>30.4</v>
      </c>
    </row>
    <row r="8" spans="1:14" x14ac:dyDescent="0.2">
      <c r="A8" s="24" t="s">
        <v>96</v>
      </c>
      <c r="B8" s="31">
        <f ca="1">DATE(B5,B7,B6)</f>
        <v>45719</v>
      </c>
      <c r="J8" s="37">
        <v>5</v>
      </c>
      <c r="K8" s="38">
        <f t="shared" ca="1" si="0"/>
        <v>45841</v>
      </c>
      <c r="L8" s="40">
        <f t="shared" si="1"/>
        <v>30.4</v>
      </c>
    </row>
    <row r="9" spans="1:14" x14ac:dyDescent="0.2">
      <c r="B9" s="37" t="s">
        <v>97</v>
      </c>
      <c r="C9" s="37" t="s">
        <v>98</v>
      </c>
      <c r="D9" s="37" t="s">
        <v>99</v>
      </c>
      <c r="J9" s="37">
        <v>6</v>
      </c>
      <c r="K9" s="38">
        <f t="shared" ca="1" si="0"/>
        <v>45872</v>
      </c>
      <c r="L9" s="40">
        <f t="shared" si="1"/>
        <v>30.4</v>
      </c>
    </row>
    <row r="10" spans="1:14" x14ac:dyDescent="0.2">
      <c r="B10" s="43">
        <f ca="1">B3</f>
        <v>17</v>
      </c>
      <c r="C10" s="43">
        <f ca="1">B4</f>
        <v>2</v>
      </c>
      <c r="D10" s="41">
        <f ca="1">VLOOKUP($D$11,$A$12:$D$42,4,FALSE)</f>
        <v>2025</v>
      </c>
      <c r="J10" s="37">
        <v>7</v>
      </c>
      <c r="K10" s="38">
        <f t="shared" ca="1" si="0"/>
        <v>45903</v>
      </c>
      <c r="L10" s="40">
        <f t="shared" si="1"/>
        <v>30.4</v>
      </c>
    </row>
    <row r="11" spans="1:14" x14ac:dyDescent="0.2">
      <c r="D11" s="43">
        <v>1</v>
      </c>
      <c r="F11" s="44" t="s">
        <v>100</v>
      </c>
      <c r="G11" s="41">
        <f ca="1">+VLOOKUP(C4,E12:F23,2)</f>
        <v>28</v>
      </c>
      <c r="J11" s="37">
        <v>8</v>
      </c>
      <c r="K11" s="38">
        <f t="shared" ca="1" si="0"/>
        <v>45933</v>
      </c>
      <c r="L11" s="40">
        <f t="shared" si="1"/>
        <v>30.4</v>
      </c>
    </row>
    <row r="12" spans="1:14" x14ac:dyDescent="0.2">
      <c r="A12" s="24">
        <v>1</v>
      </c>
      <c r="B12" s="24">
        <v>1</v>
      </c>
      <c r="C12" s="24" t="s">
        <v>101</v>
      </c>
      <c r="D12" s="37">
        <f ca="1">YEAR(TODAY())</f>
        <v>2025</v>
      </c>
      <c r="E12" s="37">
        <v>1</v>
      </c>
      <c r="F12" s="45">
        <v>31</v>
      </c>
      <c r="J12" s="37">
        <v>9</v>
      </c>
      <c r="K12" s="38">
        <f t="shared" ca="1" si="0"/>
        <v>45964</v>
      </c>
      <c r="L12" s="40">
        <f t="shared" si="1"/>
        <v>30.4</v>
      </c>
    </row>
    <row r="13" spans="1:14" x14ac:dyDescent="0.2">
      <c r="A13" s="24">
        <v>2</v>
      </c>
      <c r="B13" s="32">
        <v>2</v>
      </c>
      <c r="C13" s="24" t="s">
        <v>102</v>
      </c>
      <c r="D13" s="37">
        <f ca="1">+D12+1</f>
        <v>2026</v>
      </c>
      <c r="E13" s="37">
        <v>2</v>
      </c>
      <c r="F13" s="45">
        <v>28</v>
      </c>
      <c r="J13" s="37">
        <v>10</v>
      </c>
      <c r="K13" s="38">
        <f t="shared" ca="1" si="0"/>
        <v>45994</v>
      </c>
      <c r="L13" s="40">
        <f t="shared" si="1"/>
        <v>30.4</v>
      </c>
    </row>
    <row r="14" spans="1:14" x14ac:dyDescent="0.2">
      <c r="A14" s="24">
        <v>3</v>
      </c>
      <c r="B14" s="32">
        <v>3</v>
      </c>
      <c r="C14" s="24" t="s">
        <v>103</v>
      </c>
      <c r="D14" s="37">
        <f ca="1">+D13+1</f>
        <v>2027</v>
      </c>
      <c r="E14" s="37">
        <v>3</v>
      </c>
      <c r="F14" s="45">
        <v>31</v>
      </c>
      <c r="J14" s="37">
        <v>11</v>
      </c>
      <c r="K14" s="38">
        <f t="shared" ca="1" si="0"/>
        <v>46025</v>
      </c>
      <c r="L14" s="40">
        <f t="shared" si="1"/>
        <v>30.4</v>
      </c>
    </row>
    <row r="15" spans="1:14" x14ac:dyDescent="0.2">
      <c r="A15" s="24">
        <v>4</v>
      </c>
      <c r="B15" s="32">
        <v>4</v>
      </c>
      <c r="C15" s="24" t="s">
        <v>104</v>
      </c>
      <c r="D15" s="37">
        <f ca="1">+D14+1</f>
        <v>2028</v>
      </c>
      <c r="E15" s="37">
        <v>4</v>
      </c>
      <c r="F15" s="45">
        <v>30</v>
      </c>
      <c r="J15" s="37">
        <v>12</v>
      </c>
      <c r="K15" s="38">
        <f t="shared" ca="1" si="0"/>
        <v>46056</v>
      </c>
      <c r="L15" s="40">
        <f t="shared" si="1"/>
        <v>30.4</v>
      </c>
    </row>
    <row r="16" spans="1:14" x14ac:dyDescent="0.2">
      <c r="A16" s="24">
        <v>5</v>
      </c>
      <c r="B16" s="32">
        <v>5</v>
      </c>
      <c r="C16" s="24" t="s">
        <v>105</v>
      </c>
      <c r="D16" s="37">
        <f ca="1">+D15+1</f>
        <v>2029</v>
      </c>
      <c r="E16" s="37">
        <v>5</v>
      </c>
      <c r="F16" s="45">
        <v>31</v>
      </c>
      <c r="J16" s="37">
        <v>13</v>
      </c>
      <c r="K16" s="38">
        <f t="shared" ca="1" si="0"/>
        <v>46084</v>
      </c>
      <c r="L16" s="40">
        <f t="shared" si="1"/>
        <v>30.4</v>
      </c>
    </row>
    <row r="17" spans="1:12" x14ac:dyDescent="0.2">
      <c r="A17" s="24">
        <v>6</v>
      </c>
      <c r="B17" s="32">
        <v>6</v>
      </c>
      <c r="C17" s="24" t="s">
        <v>106</v>
      </c>
      <c r="D17" s="37"/>
      <c r="E17" s="37">
        <v>6</v>
      </c>
      <c r="F17" s="45">
        <v>30</v>
      </c>
      <c r="J17" s="37">
        <v>14</v>
      </c>
      <c r="K17" s="38">
        <f t="shared" ca="1" si="0"/>
        <v>46115</v>
      </c>
      <c r="L17" s="40">
        <f t="shared" si="1"/>
        <v>30.4</v>
      </c>
    </row>
    <row r="18" spans="1:12" x14ac:dyDescent="0.2">
      <c r="A18" s="24">
        <v>7</v>
      </c>
      <c r="B18" s="32">
        <v>7</v>
      </c>
      <c r="C18" s="24" t="s">
        <v>107</v>
      </c>
      <c r="D18" s="37"/>
      <c r="E18" s="37">
        <v>7</v>
      </c>
      <c r="F18" s="45">
        <v>31</v>
      </c>
      <c r="J18" s="37">
        <v>15</v>
      </c>
      <c r="K18" s="38">
        <f t="shared" ca="1" si="0"/>
        <v>46145</v>
      </c>
      <c r="L18" s="40">
        <f t="shared" si="1"/>
        <v>30.4</v>
      </c>
    </row>
    <row r="19" spans="1:12" x14ac:dyDescent="0.2">
      <c r="A19" s="24">
        <v>8</v>
      </c>
      <c r="B19" s="32">
        <v>8</v>
      </c>
      <c r="C19" s="24" t="s">
        <v>108</v>
      </c>
      <c r="D19" s="37"/>
      <c r="E19" s="37">
        <v>8</v>
      </c>
      <c r="F19" s="45">
        <v>31</v>
      </c>
      <c r="J19" s="37">
        <v>16</v>
      </c>
      <c r="K19" s="38">
        <f t="shared" ca="1" si="0"/>
        <v>46176</v>
      </c>
      <c r="L19" s="40">
        <f t="shared" si="1"/>
        <v>30.4</v>
      </c>
    </row>
    <row r="20" spans="1:12" x14ac:dyDescent="0.2">
      <c r="A20" s="24">
        <v>9</v>
      </c>
      <c r="B20" s="32">
        <v>9</v>
      </c>
      <c r="C20" s="24" t="s">
        <v>109</v>
      </c>
      <c r="D20" s="37"/>
      <c r="E20" s="37">
        <v>9</v>
      </c>
      <c r="F20" s="45">
        <v>30</v>
      </c>
      <c r="J20" s="37">
        <v>17</v>
      </c>
      <c r="K20" s="38">
        <f t="shared" ca="1" si="0"/>
        <v>46206</v>
      </c>
      <c r="L20" s="40">
        <f t="shared" si="1"/>
        <v>30.4</v>
      </c>
    </row>
    <row r="21" spans="1:12" x14ac:dyDescent="0.2">
      <c r="A21" s="24">
        <v>10</v>
      </c>
      <c r="B21" s="32">
        <v>10</v>
      </c>
      <c r="C21" s="24" t="s">
        <v>110</v>
      </c>
      <c r="D21" s="37"/>
      <c r="E21" s="37">
        <v>10</v>
      </c>
      <c r="F21" s="45">
        <v>31</v>
      </c>
      <c r="J21" s="37">
        <v>18</v>
      </c>
      <c r="K21" s="38">
        <f t="shared" ca="1" si="0"/>
        <v>46237</v>
      </c>
      <c r="L21" s="40">
        <f t="shared" si="1"/>
        <v>30.4</v>
      </c>
    </row>
    <row r="22" spans="1:12" x14ac:dyDescent="0.2">
      <c r="A22" s="24">
        <v>11</v>
      </c>
      <c r="B22" s="32">
        <v>11</v>
      </c>
      <c r="C22" s="24" t="s">
        <v>111</v>
      </c>
      <c r="D22" s="37"/>
      <c r="E22" s="37">
        <v>11</v>
      </c>
      <c r="F22" s="45">
        <v>30</v>
      </c>
      <c r="J22" s="37">
        <v>19</v>
      </c>
      <c r="K22" s="38">
        <f t="shared" ca="1" si="0"/>
        <v>46268</v>
      </c>
      <c r="L22" s="40">
        <f t="shared" si="1"/>
        <v>30.4</v>
      </c>
    </row>
    <row r="23" spans="1:12" x14ac:dyDescent="0.2">
      <c r="A23" s="24">
        <v>12</v>
      </c>
      <c r="B23" s="32">
        <v>12</v>
      </c>
      <c r="C23" s="24" t="s">
        <v>112</v>
      </c>
      <c r="D23" s="37"/>
      <c r="E23" s="37">
        <v>12</v>
      </c>
      <c r="F23" s="45">
        <v>31</v>
      </c>
      <c r="J23" s="37">
        <v>20</v>
      </c>
      <c r="K23" s="38">
        <f t="shared" ca="1" si="0"/>
        <v>46298</v>
      </c>
      <c r="L23" s="40">
        <f t="shared" si="1"/>
        <v>30.4</v>
      </c>
    </row>
    <row r="24" spans="1:12" x14ac:dyDescent="0.2">
      <c r="A24" s="24">
        <v>13</v>
      </c>
      <c r="B24" s="32">
        <v>13</v>
      </c>
      <c r="J24" s="37">
        <v>21</v>
      </c>
      <c r="K24" s="38">
        <f t="shared" ca="1" si="0"/>
        <v>46329</v>
      </c>
      <c r="L24" s="40">
        <f t="shared" si="1"/>
        <v>30.4</v>
      </c>
    </row>
    <row r="25" spans="1:12" x14ac:dyDescent="0.2">
      <c r="A25" s="24">
        <v>14</v>
      </c>
      <c r="B25" s="32">
        <v>14</v>
      </c>
      <c r="J25" s="37">
        <v>22</v>
      </c>
      <c r="K25" s="38">
        <f t="shared" ca="1" si="0"/>
        <v>46359</v>
      </c>
      <c r="L25" s="40">
        <f t="shared" si="1"/>
        <v>30.4</v>
      </c>
    </row>
    <row r="26" spans="1:12" x14ac:dyDescent="0.2">
      <c r="A26" s="24">
        <v>15</v>
      </c>
      <c r="B26" s="32">
        <v>15</v>
      </c>
      <c r="J26" s="37">
        <v>23</v>
      </c>
      <c r="K26" s="38">
        <f t="shared" ca="1" si="0"/>
        <v>46390</v>
      </c>
      <c r="L26" s="40">
        <f t="shared" si="1"/>
        <v>30.4</v>
      </c>
    </row>
    <row r="27" spans="1:12" x14ac:dyDescent="0.2">
      <c r="A27" s="24">
        <v>16</v>
      </c>
      <c r="B27" s="32">
        <v>16</v>
      </c>
      <c r="J27" s="37">
        <v>24</v>
      </c>
      <c r="K27" s="38">
        <f t="shared" ca="1" si="0"/>
        <v>46421</v>
      </c>
      <c r="L27" s="40">
        <f t="shared" si="1"/>
        <v>30.4</v>
      </c>
    </row>
    <row r="28" spans="1:12" x14ac:dyDescent="0.2">
      <c r="A28" s="24">
        <v>17</v>
      </c>
      <c r="B28" s="32">
        <v>17</v>
      </c>
      <c r="J28" s="37">
        <v>25</v>
      </c>
      <c r="K28" s="38">
        <f t="shared" ca="1" si="0"/>
        <v>46449</v>
      </c>
      <c r="L28" s="40">
        <f t="shared" si="1"/>
        <v>30.4</v>
      </c>
    </row>
    <row r="29" spans="1:12" x14ac:dyDescent="0.2">
      <c r="A29" s="24">
        <v>18</v>
      </c>
      <c r="B29" s="32">
        <v>18</v>
      </c>
      <c r="J29" s="37">
        <v>26</v>
      </c>
      <c r="K29" s="38">
        <f t="shared" ca="1" si="0"/>
        <v>46480</v>
      </c>
      <c r="L29" s="40">
        <f t="shared" si="1"/>
        <v>30.4</v>
      </c>
    </row>
    <row r="30" spans="1:12" x14ac:dyDescent="0.2">
      <c r="A30" s="24">
        <v>19</v>
      </c>
      <c r="B30" s="32">
        <v>19</v>
      </c>
      <c r="J30" s="37">
        <v>27</v>
      </c>
      <c r="K30" s="38">
        <f t="shared" ca="1" si="0"/>
        <v>46510</v>
      </c>
      <c r="L30" s="40">
        <f t="shared" si="1"/>
        <v>30.4</v>
      </c>
    </row>
    <row r="31" spans="1:12" x14ac:dyDescent="0.2">
      <c r="A31" s="24">
        <v>20</v>
      </c>
      <c r="B31" s="32">
        <v>20</v>
      </c>
      <c r="J31" s="37">
        <v>28</v>
      </c>
      <c r="K31" s="38">
        <f t="shared" ca="1" si="0"/>
        <v>46541</v>
      </c>
      <c r="L31" s="40">
        <f t="shared" si="1"/>
        <v>30.4</v>
      </c>
    </row>
    <row r="32" spans="1:12" x14ac:dyDescent="0.2">
      <c r="A32" s="24">
        <v>21</v>
      </c>
      <c r="B32" s="32">
        <v>21</v>
      </c>
      <c r="J32" s="37">
        <v>29</v>
      </c>
      <c r="K32" s="38">
        <f t="shared" ca="1" si="0"/>
        <v>46571</v>
      </c>
      <c r="L32" s="40">
        <f t="shared" si="1"/>
        <v>30.4</v>
      </c>
    </row>
    <row r="33" spans="1:12" x14ac:dyDescent="0.2">
      <c r="A33" s="24">
        <v>22</v>
      </c>
      <c r="B33" s="32">
        <v>22</v>
      </c>
      <c r="J33" s="37">
        <v>30</v>
      </c>
      <c r="K33" s="38">
        <f t="shared" ca="1" si="0"/>
        <v>46602</v>
      </c>
      <c r="L33" s="40">
        <f t="shared" si="1"/>
        <v>30.4</v>
      </c>
    </row>
    <row r="34" spans="1:12" x14ac:dyDescent="0.2">
      <c r="A34" s="24">
        <v>23</v>
      </c>
      <c r="B34" s="32">
        <v>23</v>
      </c>
      <c r="J34" s="37">
        <v>31</v>
      </c>
      <c r="K34" s="38">
        <f t="shared" ca="1" si="0"/>
        <v>46633</v>
      </c>
      <c r="L34" s="40">
        <f t="shared" si="1"/>
        <v>30.4</v>
      </c>
    </row>
    <row r="35" spans="1:12" x14ac:dyDescent="0.2">
      <c r="A35" s="24">
        <v>24</v>
      </c>
      <c r="B35" s="32">
        <v>24</v>
      </c>
      <c r="J35" s="37">
        <v>32</v>
      </c>
      <c r="K35" s="38">
        <f t="shared" ca="1" si="0"/>
        <v>46663</v>
      </c>
      <c r="L35" s="40">
        <f t="shared" si="1"/>
        <v>30.4</v>
      </c>
    </row>
    <row r="36" spans="1:12" x14ac:dyDescent="0.2">
      <c r="A36" s="24">
        <v>25</v>
      </c>
      <c r="B36" s="32">
        <v>25</v>
      </c>
      <c r="J36" s="37">
        <v>33</v>
      </c>
      <c r="K36" s="38">
        <f t="shared" ca="1" si="0"/>
        <v>46694</v>
      </c>
      <c r="L36" s="40">
        <f t="shared" si="1"/>
        <v>30.4</v>
      </c>
    </row>
    <row r="37" spans="1:12" x14ac:dyDescent="0.2">
      <c r="A37" s="24">
        <v>26</v>
      </c>
      <c r="B37" s="32">
        <v>26</v>
      </c>
      <c r="J37" s="37">
        <v>34</v>
      </c>
      <c r="K37" s="38">
        <f t="shared" ca="1" si="0"/>
        <v>46724</v>
      </c>
      <c r="L37" s="40">
        <f t="shared" si="1"/>
        <v>30.4</v>
      </c>
    </row>
    <row r="38" spans="1:12" x14ac:dyDescent="0.2">
      <c r="A38" s="24">
        <v>27</v>
      </c>
      <c r="B38" s="32">
        <v>27</v>
      </c>
      <c r="J38" s="37">
        <v>35</v>
      </c>
      <c r="K38" s="38">
        <f t="shared" ca="1" si="0"/>
        <v>46755</v>
      </c>
      <c r="L38" s="40">
        <f t="shared" si="1"/>
        <v>30.4</v>
      </c>
    </row>
    <row r="39" spans="1:12" x14ac:dyDescent="0.2">
      <c r="A39" s="24">
        <v>28</v>
      </c>
      <c r="B39" s="32">
        <v>28</v>
      </c>
      <c r="J39" s="37">
        <v>36</v>
      </c>
      <c r="K39" s="38">
        <f t="shared" ca="1" si="0"/>
        <v>46786</v>
      </c>
      <c r="L39" s="40">
        <f t="shared" si="1"/>
        <v>30.4</v>
      </c>
    </row>
    <row r="40" spans="1:12" x14ac:dyDescent="0.2">
      <c r="A40" s="24">
        <v>29</v>
      </c>
      <c r="B40" s="32">
        <v>29</v>
      </c>
      <c r="J40" s="37">
        <v>37</v>
      </c>
      <c r="K40" s="38">
        <f t="shared" ca="1" si="0"/>
        <v>46815</v>
      </c>
      <c r="L40" s="40">
        <f t="shared" si="1"/>
        <v>30.4</v>
      </c>
    </row>
    <row r="41" spans="1:12" x14ac:dyDescent="0.2">
      <c r="A41" s="24">
        <v>30</v>
      </c>
      <c r="B41" s="32">
        <v>30</v>
      </c>
      <c r="J41" s="37">
        <v>38</v>
      </c>
      <c r="K41" s="38">
        <f t="shared" ca="1" si="0"/>
        <v>46846</v>
      </c>
      <c r="L41" s="40">
        <f t="shared" si="1"/>
        <v>30.4</v>
      </c>
    </row>
    <row r="42" spans="1:12" x14ac:dyDescent="0.2">
      <c r="A42" s="24">
        <v>31</v>
      </c>
      <c r="B42" s="32" t="s">
        <v>54</v>
      </c>
      <c r="J42" s="37">
        <v>39</v>
      </c>
      <c r="K42" s="38">
        <f t="shared" ca="1" si="0"/>
        <v>46876</v>
      </c>
      <c r="L42" s="40">
        <f t="shared" si="1"/>
        <v>30.4</v>
      </c>
    </row>
    <row r="43" spans="1:12" x14ac:dyDescent="0.2">
      <c r="J43" s="37">
        <v>40</v>
      </c>
      <c r="K43" s="38">
        <f t="shared" ca="1" si="0"/>
        <v>46907</v>
      </c>
      <c r="L43" s="40">
        <f t="shared" si="1"/>
        <v>30.4</v>
      </c>
    </row>
    <row r="44" spans="1:12" x14ac:dyDescent="0.2">
      <c r="J44" s="37">
        <v>41</v>
      </c>
      <c r="K44" s="38">
        <f t="shared" ca="1" si="0"/>
        <v>46937</v>
      </c>
      <c r="L44" s="40">
        <f t="shared" si="1"/>
        <v>30.4</v>
      </c>
    </row>
    <row r="45" spans="1:12" x14ac:dyDescent="0.2">
      <c r="J45" s="37">
        <v>42</v>
      </c>
      <c r="K45" s="38">
        <f t="shared" ca="1" si="0"/>
        <v>46968</v>
      </c>
      <c r="L45" s="40">
        <f t="shared" si="1"/>
        <v>30.4</v>
      </c>
    </row>
    <row r="46" spans="1:12" x14ac:dyDescent="0.2">
      <c r="J46" s="37">
        <v>43</v>
      </c>
      <c r="K46" s="38">
        <f t="shared" ca="1" si="0"/>
        <v>46999</v>
      </c>
      <c r="L46" s="40">
        <f t="shared" si="1"/>
        <v>30.4</v>
      </c>
    </row>
    <row r="47" spans="1:12" x14ac:dyDescent="0.2">
      <c r="J47" s="37">
        <v>44</v>
      </c>
      <c r="K47" s="38">
        <f t="shared" ca="1" si="0"/>
        <v>47029</v>
      </c>
      <c r="L47" s="40">
        <f t="shared" si="1"/>
        <v>30.4</v>
      </c>
    </row>
    <row r="48" spans="1:12" x14ac:dyDescent="0.2">
      <c r="J48" s="37">
        <v>45</v>
      </c>
      <c r="K48" s="38">
        <f t="shared" ca="1" si="0"/>
        <v>47060</v>
      </c>
      <c r="L48" s="40">
        <f t="shared" si="1"/>
        <v>30.4</v>
      </c>
    </row>
    <row r="49" spans="10:12" x14ac:dyDescent="0.2">
      <c r="J49" s="37">
        <v>46</v>
      </c>
      <c r="K49" s="38">
        <f t="shared" ca="1" si="0"/>
        <v>47090</v>
      </c>
      <c r="L49" s="40">
        <f t="shared" si="1"/>
        <v>30.4</v>
      </c>
    </row>
    <row r="50" spans="10:12" x14ac:dyDescent="0.2">
      <c r="J50" s="37">
        <v>47</v>
      </c>
      <c r="K50" s="38">
        <f t="shared" ca="1" si="0"/>
        <v>47121</v>
      </c>
      <c r="L50" s="40">
        <f t="shared" si="1"/>
        <v>30.4</v>
      </c>
    </row>
    <row r="51" spans="10:12" x14ac:dyDescent="0.2">
      <c r="J51" s="37">
        <v>48</v>
      </c>
      <c r="K51" s="38">
        <f t="shared" ca="1" si="0"/>
        <v>47152</v>
      </c>
      <c r="L51" s="40">
        <f t="shared" si="1"/>
        <v>30.4</v>
      </c>
    </row>
    <row r="52" spans="10:12" x14ac:dyDescent="0.2">
      <c r="J52" s="37">
        <v>49</v>
      </c>
      <c r="K52" s="38">
        <f t="shared" ca="1" si="0"/>
        <v>47180</v>
      </c>
      <c r="L52" s="40">
        <f t="shared" si="1"/>
        <v>30.4</v>
      </c>
    </row>
    <row r="53" spans="10:12" x14ac:dyDescent="0.2">
      <c r="J53" s="37">
        <v>50</v>
      </c>
      <c r="K53" s="38">
        <f t="shared" ca="1" si="0"/>
        <v>47211</v>
      </c>
      <c r="L53" s="40">
        <f t="shared" si="1"/>
        <v>30.4</v>
      </c>
    </row>
    <row r="54" spans="10:12" x14ac:dyDescent="0.2">
      <c r="J54" s="37">
        <v>51</v>
      </c>
      <c r="K54" s="38">
        <f t="shared" ca="1" si="0"/>
        <v>47241</v>
      </c>
      <c r="L54" s="40">
        <f t="shared" si="1"/>
        <v>30.4</v>
      </c>
    </row>
    <row r="55" spans="10:12" x14ac:dyDescent="0.2">
      <c r="J55" s="37">
        <v>52</v>
      </c>
      <c r="K55" s="38">
        <f t="shared" ca="1" si="0"/>
        <v>47272</v>
      </c>
      <c r="L55" s="40">
        <f t="shared" si="1"/>
        <v>30.4</v>
      </c>
    </row>
    <row r="56" spans="10:12" x14ac:dyDescent="0.2">
      <c r="J56" s="37">
        <v>53</v>
      </c>
      <c r="K56" s="38">
        <f t="shared" ca="1" si="0"/>
        <v>47302</v>
      </c>
      <c r="L56" s="40">
        <f t="shared" si="1"/>
        <v>30.4</v>
      </c>
    </row>
    <row r="57" spans="10:12" x14ac:dyDescent="0.2">
      <c r="J57" s="37">
        <v>54</v>
      </c>
      <c r="K57" s="38">
        <f t="shared" ca="1" si="0"/>
        <v>47333</v>
      </c>
      <c r="L57" s="40">
        <f t="shared" si="1"/>
        <v>30.4</v>
      </c>
    </row>
    <row r="58" spans="10:12" x14ac:dyDescent="0.2">
      <c r="J58" s="37">
        <v>55</v>
      </c>
      <c r="K58" s="38">
        <f t="shared" ca="1" si="0"/>
        <v>47364</v>
      </c>
      <c r="L58" s="40">
        <f t="shared" si="1"/>
        <v>30.4</v>
      </c>
    </row>
    <row r="59" spans="10:12" x14ac:dyDescent="0.2">
      <c r="J59" s="37">
        <v>56</v>
      </c>
      <c r="K59" s="38">
        <f t="shared" ca="1" si="0"/>
        <v>47394</v>
      </c>
      <c r="L59" s="40">
        <f t="shared" si="1"/>
        <v>30.4</v>
      </c>
    </row>
    <row r="60" spans="10:12" x14ac:dyDescent="0.2">
      <c r="J60" s="37">
        <v>57</v>
      </c>
      <c r="K60" s="38">
        <f t="shared" ca="1" si="0"/>
        <v>47425</v>
      </c>
      <c r="L60" s="40">
        <f t="shared" si="1"/>
        <v>30.4</v>
      </c>
    </row>
    <row r="61" spans="10:12" x14ac:dyDescent="0.2">
      <c r="J61" s="37">
        <v>58</v>
      </c>
      <c r="K61" s="38">
        <f t="shared" ca="1" si="0"/>
        <v>47455</v>
      </c>
      <c r="L61" s="40">
        <f t="shared" si="1"/>
        <v>30.4</v>
      </c>
    </row>
    <row r="62" spans="10:12" x14ac:dyDescent="0.2">
      <c r="J62" s="37">
        <v>59</v>
      </c>
      <c r="K62" s="38">
        <f t="shared" ca="1" si="0"/>
        <v>47486</v>
      </c>
      <c r="L62" s="40">
        <f t="shared" si="1"/>
        <v>30.4</v>
      </c>
    </row>
    <row r="63" spans="10:12" x14ac:dyDescent="0.2">
      <c r="J63" s="37">
        <v>60</v>
      </c>
      <c r="K63" s="38">
        <f t="shared" ca="1" si="0"/>
        <v>47517</v>
      </c>
      <c r="L63" s="40">
        <f t="shared" si="1"/>
        <v>30.4</v>
      </c>
    </row>
    <row r="64" spans="10:12" x14ac:dyDescent="0.2">
      <c r="J64" s="37">
        <v>61</v>
      </c>
      <c r="K64" s="38">
        <f t="shared" ca="1" si="0"/>
        <v>47545</v>
      </c>
      <c r="L64" s="40">
        <f t="shared" si="1"/>
        <v>30.4</v>
      </c>
    </row>
    <row r="65" spans="10:12" x14ac:dyDescent="0.2">
      <c r="J65" s="37">
        <v>62</v>
      </c>
      <c r="K65" s="38">
        <f t="shared" ca="1" si="0"/>
        <v>47576</v>
      </c>
      <c r="L65" s="40">
        <f t="shared" si="1"/>
        <v>30.4</v>
      </c>
    </row>
    <row r="66" spans="10:12" x14ac:dyDescent="0.2">
      <c r="J66" s="37">
        <v>63</v>
      </c>
      <c r="K66" s="38">
        <f t="shared" ca="1" si="0"/>
        <v>47606</v>
      </c>
      <c r="L66" s="40">
        <f t="shared" si="1"/>
        <v>30.4</v>
      </c>
    </row>
    <row r="67" spans="10:12" x14ac:dyDescent="0.2">
      <c r="J67" s="37">
        <v>64</v>
      </c>
      <c r="K67" s="38">
        <f t="shared" ca="1" si="0"/>
        <v>47637</v>
      </c>
      <c r="L67" s="40">
        <f t="shared" si="1"/>
        <v>30.4</v>
      </c>
    </row>
    <row r="68" spans="10:12" x14ac:dyDescent="0.2">
      <c r="J68" s="37">
        <v>65</v>
      </c>
      <c r="K68" s="38">
        <f t="shared" ca="1" si="0"/>
        <v>47667</v>
      </c>
      <c r="L68" s="40">
        <f t="shared" si="1"/>
        <v>30.4</v>
      </c>
    </row>
    <row r="69" spans="10:12" x14ac:dyDescent="0.2">
      <c r="J69" s="37">
        <v>66</v>
      </c>
      <c r="K69" s="38">
        <f t="shared" ref="K69:K132" ca="1" si="2">IF(($J$4:$J$363)&lt;=$H$1,(EOMONTH(K68,0)+$B$6))</f>
        <v>47698</v>
      </c>
      <c r="L69" s="40">
        <f t="shared" si="1"/>
        <v>30.4</v>
      </c>
    </row>
    <row r="70" spans="10:12" x14ac:dyDescent="0.2">
      <c r="J70" s="37">
        <v>67</v>
      </c>
      <c r="K70" s="38">
        <f t="shared" ca="1" si="2"/>
        <v>47729</v>
      </c>
      <c r="L70" s="40">
        <f t="shared" si="1"/>
        <v>30.4</v>
      </c>
    </row>
    <row r="71" spans="10:12" x14ac:dyDescent="0.2">
      <c r="J71" s="37">
        <v>68</v>
      </c>
      <c r="K71" s="38">
        <f t="shared" ca="1" si="2"/>
        <v>47759</v>
      </c>
      <c r="L71" s="40">
        <f t="shared" ref="L71:L134" si="3">IF($J$4:$J$363 &lt;= $H$1,$H$2,"")</f>
        <v>30.4</v>
      </c>
    </row>
    <row r="72" spans="10:12" x14ac:dyDescent="0.2">
      <c r="J72" s="37">
        <v>69</v>
      </c>
      <c r="K72" s="38">
        <f t="shared" ca="1" si="2"/>
        <v>47790</v>
      </c>
      <c r="L72" s="40">
        <f t="shared" si="3"/>
        <v>30.4</v>
      </c>
    </row>
    <row r="73" spans="10:12" x14ac:dyDescent="0.2">
      <c r="J73" s="37">
        <v>70</v>
      </c>
      <c r="K73" s="38">
        <f t="shared" ca="1" si="2"/>
        <v>47820</v>
      </c>
      <c r="L73" s="40">
        <f t="shared" si="3"/>
        <v>30.4</v>
      </c>
    </row>
    <row r="74" spans="10:12" x14ac:dyDescent="0.2">
      <c r="J74" s="37">
        <v>71</v>
      </c>
      <c r="K74" s="38">
        <f t="shared" ca="1" si="2"/>
        <v>47851</v>
      </c>
      <c r="L74" s="40">
        <f t="shared" si="3"/>
        <v>30.4</v>
      </c>
    </row>
    <row r="75" spans="10:12" x14ac:dyDescent="0.2">
      <c r="J75" s="37">
        <v>72</v>
      </c>
      <c r="K75" s="38">
        <f t="shared" ca="1" si="2"/>
        <v>47882</v>
      </c>
      <c r="L75" s="40">
        <f t="shared" si="3"/>
        <v>30.4</v>
      </c>
    </row>
    <row r="76" spans="10:12" x14ac:dyDescent="0.2">
      <c r="J76" s="37">
        <v>73</v>
      </c>
      <c r="K76" s="38">
        <f t="shared" ca="1" si="2"/>
        <v>47910</v>
      </c>
      <c r="L76" s="40">
        <f t="shared" si="3"/>
        <v>30.4</v>
      </c>
    </row>
    <row r="77" spans="10:12" x14ac:dyDescent="0.2">
      <c r="J77" s="37">
        <v>74</v>
      </c>
      <c r="K77" s="38">
        <f t="shared" ca="1" si="2"/>
        <v>47941</v>
      </c>
      <c r="L77" s="40">
        <f t="shared" si="3"/>
        <v>30.4</v>
      </c>
    </row>
    <row r="78" spans="10:12" x14ac:dyDescent="0.2">
      <c r="J78" s="37">
        <v>75</v>
      </c>
      <c r="K78" s="38">
        <f t="shared" ca="1" si="2"/>
        <v>47971</v>
      </c>
      <c r="L78" s="40">
        <f t="shared" si="3"/>
        <v>30.4</v>
      </c>
    </row>
    <row r="79" spans="10:12" x14ac:dyDescent="0.2">
      <c r="J79" s="37">
        <v>76</v>
      </c>
      <c r="K79" s="38">
        <f t="shared" ca="1" si="2"/>
        <v>48002</v>
      </c>
      <c r="L79" s="40">
        <f t="shared" si="3"/>
        <v>30.4</v>
      </c>
    </row>
    <row r="80" spans="10:12" x14ac:dyDescent="0.2">
      <c r="J80" s="37">
        <v>77</v>
      </c>
      <c r="K80" s="38">
        <f t="shared" ca="1" si="2"/>
        <v>48032</v>
      </c>
      <c r="L80" s="40">
        <f t="shared" si="3"/>
        <v>30.4</v>
      </c>
    </row>
    <row r="81" spans="10:12" x14ac:dyDescent="0.2">
      <c r="J81" s="37">
        <v>78</v>
      </c>
      <c r="K81" s="38">
        <f t="shared" ca="1" si="2"/>
        <v>48063</v>
      </c>
      <c r="L81" s="40">
        <f t="shared" si="3"/>
        <v>30.4</v>
      </c>
    </row>
    <row r="82" spans="10:12" x14ac:dyDescent="0.2">
      <c r="J82" s="37">
        <v>79</v>
      </c>
      <c r="K82" s="38">
        <f t="shared" ca="1" si="2"/>
        <v>48094</v>
      </c>
      <c r="L82" s="40">
        <f t="shared" si="3"/>
        <v>30.4</v>
      </c>
    </row>
    <row r="83" spans="10:12" x14ac:dyDescent="0.2">
      <c r="J83" s="37">
        <v>80</v>
      </c>
      <c r="K83" s="38">
        <f t="shared" ca="1" si="2"/>
        <v>48124</v>
      </c>
      <c r="L83" s="40">
        <f t="shared" si="3"/>
        <v>30.4</v>
      </c>
    </row>
    <row r="84" spans="10:12" x14ac:dyDescent="0.2">
      <c r="J84" s="37">
        <v>81</v>
      </c>
      <c r="K84" s="38">
        <f t="shared" ca="1" si="2"/>
        <v>48155</v>
      </c>
      <c r="L84" s="40">
        <f t="shared" si="3"/>
        <v>30.4</v>
      </c>
    </row>
    <row r="85" spans="10:12" x14ac:dyDescent="0.2">
      <c r="J85" s="37">
        <v>82</v>
      </c>
      <c r="K85" s="38">
        <f t="shared" ca="1" si="2"/>
        <v>48185</v>
      </c>
      <c r="L85" s="40">
        <f t="shared" si="3"/>
        <v>30.4</v>
      </c>
    </row>
    <row r="86" spans="10:12" x14ac:dyDescent="0.2">
      <c r="J86" s="37">
        <v>83</v>
      </c>
      <c r="K86" s="38">
        <f t="shared" ca="1" si="2"/>
        <v>48216</v>
      </c>
      <c r="L86" s="40">
        <f t="shared" si="3"/>
        <v>30.4</v>
      </c>
    </row>
    <row r="87" spans="10:12" x14ac:dyDescent="0.2">
      <c r="J87" s="37">
        <v>84</v>
      </c>
      <c r="K87" s="38">
        <f t="shared" ca="1" si="2"/>
        <v>48247</v>
      </c>
      <c r="L87" s="40">
        <f t="shared" si="3"/>
        <v>30.4</v>
      </c>
    </row>
    <row r="88" spans="10:12" x14ac:dyDescent="0.2">
      <c r="J88" s="37">
        <v>85</v>
      </c>
      <c r="K88" s="38">
        <f t="shared" ca="1" si="2"/>
        <v>48276</v>
      </c>
      <c r="L88" s="40">
        <f t="shared" si="3"/>
        <v>30.4</v>
      </c>
    </row>
    <row r="89" spans="10:12" x14ac:dyDescent="0.2">
      <c r="J89" s="37">
        <v>86</v>
      </c>
      <c r="K89" s="38">
        <f t="shared" ca="1" si="2"/>
        <v>48307</v>
      </c>
      <c r="L89" s="40">
        <f t="shared" si="3"/>
        <v>30.4</v>
      </c>
    </row>
    <row r="90" spans="10:12" x14ac:dyDescent="0.2">
      <c r="J90" s="37">
        <v>87</v>
      </c>
      <c r="K90" s="38">
        <f t="shared" ca="1" si="2"/>
        <v>48337</v>
      </c>
      <c r="L90" s="40">
        <f t="shared" si="3"/>
        <v>30.4</v>
      </c>
    </row>
    <row r="91" spans="10:12" x14ac:dyDescent="0.2">
      <c r="J91" s="37">
        <v>88</v>
      </c>
      <c r="K91" s="38">
        <f t="shared" ca="1" si="2"/>
        <v>48368</v>
      </c>
      <c r="L91" s="40">
        <f t="shared" si="3"/>
        <v>30.4</v>
      </c>
    </row>
    <row r="92" spans="10:12" x14ac:dyDescent="0.2">
      <c r="J92" s="37">
        <v>89</v>
      </c>
      <c r="K92" s="38">
        <f t="shared" ca="1" si="2"/>
        <v>48398</v>
      </c>
      <c r="L92" s="40">
        <f t="shared" si="3"/>
        <v>30.4</v>
      </c>
    </row>
    <row r="93" spans="10:12" x14ac:dyDescent="0.2">
      <c r="J93" s="37">
        <v>90</v>
      </c>
      <c r="K93" s="38">
        <f t="shared" ca="1" si="2"/>
        <v>48429</v>
      </c>
      <c r="L93" s="40">
        <f t="shared" si="3"/>
        <v>30.4</v>
      </c>
    </row>
    <row r="94" spans="10:12" x14ac:dyDescent="0.2">
      <c r="J94" s="37">
        <v>91</v>
      </c>
      <c r="K94" s="38">
        <f t="shared" ca="1" si="2"/>
        <v>48460</v>
      </c>
      <c r="L94" s="40">
        <f t="shared" si="3"/>
        <v>30.4</v>
      </c>
    </row>
    <row r="95" spans="10:12" x14ac:dyDescent="0.2">
      <c r="J95" s="37">
        <v>92</v>
      </c>
      <c r="K95" s="38">
        <f t="shared" ca="1" si="2"/>
        <v>48490</v>
      </c>
      <c r="L95" s="40">
        <f t="shared" si="3"/>
        <v>30.4</v>
      </c>
    </row>
    <row r="96" spans="10:12" x14ac:dyDescent="0.2">
      <c r="J96" s="37">
        <v>93</v>
      </c>
      <c r="K96" s="38">
        <f t="shared" ca="1" si="2"/>
        <v>48521</v>
      </c>
      <c r="L96" s="40">
        <f t="shared" si="3"/>
        <v>30.4</v>
      </c>
    </row>
    <row r="97" spans="10:12" x14ac:dyDescent="0.2">
      <c r="J97" s="37">
        <v>94</v>
      </c>
      <c r="K97" s="38">
        <f t="shared" ca="1" si="2"/>
        <v>48551</v>
      </c>
      <c r="L97" s="40">
        <f t="shared" si="3"/>
        <v>30.4</v>
      </c>
    </row>
    <row r="98" spans="10:12" x14ac:dyDescent="0.2">
      <c r="J98" s="37">
        <v>95</v>
      </c>
      <c r="K98" s="38">
        <f t="shared" ca="1" si="2"/>
        <v>48582</v>
      </c>
      <c r="L98" s="40">
        <f t="shared" si="3"/>
        <v>30.4</v>
      </c>
    </row>
    <row r="99" spans="10:12" x14ac:dyDescent="0.2">
      <c r="J99" s="37">
        <v>96</v>
      </c>
      <c r="K99" s="38">
        <f t="shared" ca="1" si="2"/>
        <v>48613</v>
      </c>
      <c r="L99" s="40">
        <f t="shared" si="3"/>
        <v>30.4</v>
      </c>
    </row>
    <row r="100" spans="10:12" x14ac:dyDescent="0.2">
      <c r="J100" s="37">
        <v>97</v>
      </c>
      <c r="K100" s="38">
        <f t="shared" ca="1" si="2"/>
        <v>48641</v>
      </c>
      <c r="L100" s="40">
        <f t="shared" si="3"/>
        <v>30.4</v>
      </c>
    </row>
    <row r="101" spans="10:12" x14ac:dyDescent="0.2">
      <c r="J101" s="37">
        <v>98</v>
      </c>
      <c r="K101" s="38">
        <f t="shared" ca="1" si="2"/>
        <v>48672</v>
      </c>
      <c r="L101" s="40">
        <f t="shared" si="3"/>
        <v>30.4</v>
      </c>
    </row>
    <row r="102" spans="10:12" x14ac:dyDescent="0.2">
      <c r="J102" s="37">
        <v>99</v>
      </c>
      <c r="K102" s="38">
        <f t="shared" ca="1" si="2"/>
        <v>48702</v>
      </c>
      <c r="L102" s="40">
        <f t="shared" si="3"/>
        <v>30.4</v>
      </c>
    </row>
    <row r="103" spans="10:12" x14ac:dyDescent="0.2">
      <c r="J103" s="37">
        <v>100</v>
      </c>
      <c r="K103" s="38">
        <f t="shared" ca="1" si="2"/>
        <v>48733</v>
      </c>
      <c r="L103" s="40">
        <f t="shared" si="3"/>
        <v>30.4</v>
      </c>
    </row>
    <row r="104" spans="10:12" x14ac:dyDescent="0.2">
      <c r="J104" s="37">
        <v>101</v>
      </c>
      <c r="K104" s="38">
        <f t="shared" ca="1" si="2"/>
        <v>48763</v>
      </c>
      <c r="L104" s="40">
        <f t="shared" si="3"/>
        <v>30.4</v>
      </c>
    </row>
    <row r="105" spans="10:12" x14ac:dyDescent="0.2">
      <c r="J105" s="37">
        <v>102</v>
      </c>
      <c r="K105" s="38">
        <f t="shared" ca="1" si="2"/>
        <v>48794</v>
      </c>
      <c r="L105" s="40">
        <f t="shared" si="3"/>
        <v>30.4</v>
      </c>
    </row>
    <row r="106" spans="10:12" x14ac:dyDescent="0.2">
      <c r="J106" s="37">
        <v>103</v>
      </c>
      <c r="K106" s="38">
        <f t="shared" ca="1" si="2"/>
        <v>48825</v>
      </c>
      <c r="L106" s="40">
        <f t="shared" si="3"/>
        <v>30.4</v>
      </c>
    </row>
    <row r="107" spans="10:12" x14ac:dyDescent="0.2">
      <c r="J107" s="37">
        <v>104</v>
      </c>
      <c r="K107" s="38">
        <f t="shared" ca="1" si="2"/>
        <v>48855</v>
      </c>
      <c r="L107" s="40">
        <f t="shared" si="3"/>
        <v>30.4</v>
      </c>
    </row>
    <row r="108" spans="10:12" x14ac:dyDescent="0.2">
      <c r="J108" s="37">
        <v>105</v>
      </c>
      <c r="K108" s="38">
        <f t="shared" ca="1" si="2"/>
        <v>48886</v>
      </c>
      <c r="L108" s="40">
        <f t="shared" si="3"/>
        <v>30.4</v>
      </c>
    </row>
    <row r="109" spans="10:12" x14ac:dyDescent="0.2">
      <c r="J109" s="37">
        <v>106</v>
      </c>
      <c r="K109" s="38">
        <f t="shared" ca="1" si="2"/>
        <v>48916</v>
      </c>
      <c r="L109" s="40">
        <f t="shared" si="3"/>
        <v>30.4</v>
      </c>
    </row>
    <row r="110" spans="10:12" x14ac:dyDescent="0.2">
      <c r="J110" s="37">
        <v>107</v>
      </c>
      <c r="K110" s="38">
        <f t="shared" ca="1" si="2"/>
        <v>48947</v>
      </c>
      <c r="L110" s="40">
        <f t="shared" si="3"/>
        <v>30.4</v>
      </c>
    </row>
    <row r="111" spans="10:12" x14ac:dyDescent="0.2">
      <c r="J111" s="37">
        <v>108</v>
      </c>
      <c r="K111" s="38">
        <f t="shared" ca="1" si="2"/>
        <v>48978</v>
      </c>
      <c r="L111" s="40">
        <f t="shared" si="3"/>
        <v>30.4</v>
      </c>
    </row>
    <row r="112" spans="10:12" x14ac:dyDescent="0.2">
      <c r="J112" s="37">
        <v>109</v>
      </c>
      <c r="K112" s="38">
        <f t="shared" ca="1" si="2"/>
        <v>49006</v>
      </c>
      <c r="L112" s="40">
        <f t="shared" si="3"/>
        <v>30.4</v>
      </c>
    </row>
    <row r="113" spans="10:12" x14ac:dyDescent="0.2">
      <c r="J113" s="37">
        <v>110</v>
      </c>
      <c r="K113" s="38">
        <f t="shared" ca="1" si="2"/>
        <v>49037</v>
      </c>
      <c r="L113" s="40">
        <f t="shared" si="3"/>
        <v>30.4</v>
      </c>
    </row>
    <row r="114" spans="10:12" x14ac:dyDescent="0.2">
      <c r="J114" s="37">
        <v>111</v>
      </c>
      <c r="K114" s="38">
        <f t="shared" ca="1" si="2"/>
        <v>49067</v>
      </c>
      <c r="L114" s="40">
        <f t="shared" si="3"/>
        <v>30.4</v>
      </c>
    </row>
    <row r="115" spans="10:12" x14ac:dyDescent="0.2">
      <c r="J115" s="37">
        <v>112</v>
      </c>
      <c r="K115" s="38">
        <f t="shared" ca="1" si="2"/>
        <v>49098</v>
      </c>
      <c r="L115" s="40">
        <f t="shared" si="3"/>
        <v>30.4</v>
      </c>
    </row>
    <row r="116" spans="10:12" x14ac:dyDescent="0.2">
      <c r="J116" s="37">
        <v>113</v>
      </c>
      <c r="K116" s="38">
        <f t="shared" ca="1" si="2"/>
        <v>49128</v>
      </c>
      <c r="L116" s="40">
        <f t="shared" si="3"/>
        <v>30.4</v>
      </c>
    </row>
    <row r="117" spans="10:12" x14ac:dyDescent="0.2">
      <c r="J117" s="37">
        <v>114</v>
      </c>
      <c r="K117" s="38">
        <f t="shared" ca="1" si="2"/>
        <v>49159</v>
      </c>
      <c r="L117" s="40">
        <f t="shared" si="3"/>
        <v>30.4</v>
      </c>
    </row>
    <row r="118" spans="10:12" x14ac:dyDescent="0.2">
      <c r="J118" s="37">
        <v>115</v>
      </c>
      <c r="K118" s="38">
        <f t="shared" ca="1" si="2"/>
        <v>49190</v>
      </c>
      <c r="L118" s="40">
        <f t="shared" si="3"/>
        <v>30.4</v>
      </c>
    </row>
    <row r="119" spans="10:12" x14ac:dyDescent="0.2">
      <c r="J119" s="37">
        <v>116</v>
      </c>
      <c r="K119" s="38">
        <f t="shared" ca="1" si="2"/>
        <v>49220</v>
      </c>
      <c r="L119" s="40">
        <f t="shared" si="3"/>
        <v>30.4</v>
      </c>
    </row>
    <row r="120" spans="10:12" x14ac:dyDescent="0.2">
      <c r="J120" s="37">
        <v>117</v>
      </c>
      <c r="K120" s="38">
        <f t="shared" ca="1" si="2"/>
        <v>49251</v>
      </c>
      <c r="L120" s="40">
        <f t="shared" si="3"/>
        <v>30.4</v>
      </c>
    </row>
    <row r="121" spans="10:12" x14ac:dyDescent="0.2">
      <c r="J121" s="37">
        <v>118</v>
      </c>
      <c r="K121" s="38">
        <f t="shared" ca="1" si="2"/>
        <v>49281</v>
      </c>
      <c r="L121" s="40">
        <f t="shared" si="3"/>
        <v>30.4</v>
      </c>
    </row>
    <row r="122" spans="10:12" x14ac:dyDescent="0.2">
      <c r="J122" s="37">
        <v>119</v>
      </c>
      <c r="K122" s="38">
        <f t="shared" ca="1" si="2"/>
        <v>49312</v>
      </c>
      <c r="L122" s="40">
        <f t="shared" si="3"/>
        <v>30.4</v>
      </c>
    </row>
    <row r="123" spans="10:12" x14ac:dyDescent="0.2">
      <c r="J123" s="37">
        <v>120</v>
      </c>
      <c r="K123" s="38">
        <f t="shared" ca="1" si="2"/>
        <v>49343</v>
      </c>
      <c r="L123" s="40">
        <f t="shared" si="3"/>
        <v>30.4</v>
      </c>
    </row>
    <row r="124" spans="10:12" x14ac:dyDescent="0.2">
      <c r="J124" s="37">
        <v>121</v>
      </c>
      <c r="K124" s="38">
        <f t="shared" ca="1" si="2"/>
        <v>49371</v>
      </c>
      <c r="L124" s="40">
        <f t="shared" si="3"/>
        <v>30.4</v>
      </c>
    </row>
    <row r="125" spans="10:12" x14ac:dyDescent="0.2">
      <c r="J125" s="37">
        <v>122</v>
      </c>
      <c r="K125" s="38">
        <f t="shared" ca="1" si="2"/>
        <v>49402</v>
      </c>
      <c r="L125" s="40">
        <f t="shared" si="3"/>
        <v>30.4</v>
      </c>
    </row>
    <row r="126" spans="10:12" x14ac:dyDescent="0.2">
      <c r="J126" s="37">
        <v>123</v>
      </c>
      <c r="K126" s="38">
        <f t="shared" ca="1" si="2"/>
        <v>49432</v>
      </c>
      <c r="L126" s="40">
        <f t="shared" si="3"/>
        <v>30.4</v>
      </c>
    </row>
    <row r="127" spans="10:12" x14ac:dyDescent="0.2">
      <c r="J127" s="37">
        <v>124</v>
      </c>
      <c r="K127" s="38">
        <f t="shared" ca="1" si="2"/>
        <v>49463</v>
      </c>
      <c r="L127" s="40">
        <f t="shared" si="3"/>
        <v>30.4</v>
      </c>
    </row>
    <row r="128" spans="10:12" x14ac:dyDescent="0.2">
      <c r="J128" s="37">
        <v>125</v>
      </c>
      <c r="K128" s="38">
        <f t="shared" ca="1" si="2"/>
        <v>49493</v>
      </c>
      <c r="L128" s="40">
        <f t="shared" si="3"/>
        <v>30.4</v>
      </c>
    </row>
    <row r="129" spans="10:12" x14ac:dyDescent="0.2">
      <c r="J129" s="37">
        <v>126</v>
      </c>
      <c r="K129" s="38">
        <f t="shared" ca="1" si="2"/>
        <v>49524</v>
      </c>
      <c r="L129" s="40">
        <f t="shared" si="3"/>
        <v>30.4</v>
      </c>
    </row>
    <row r="130" spans="10:12" x14ac:dyDescent="0.2">
      <c r="J130" s="37">
        <v>127</v>
      </c>
      <c r="K130" s="38">
        <f t="shared" ca="1" si="2"/>
        <v>49555</v>
      </c>
      <c r="L130" s="40">
        <f t="shared" si="3"/>
        <v>30.4</v>
      </c>
    </row>
    <row r="131" spans="10:12" x14ac:dyDescent="0.2">
      <c r="J131" s="37">
        <v>128</v>
      </c>
      <c r="K131" s="38">
        <f t="shared" ca="1" si="2"/>
        <v>49585</v>
      </c>
      <c r="L131" s="40">
        <f t="shared" si="3"/>
        <v>30.4</v>
      </c>
    </row>
    <row r="132" spans="10:12" x14ac:dyDescent="0.2">
      <c r="J132" s="37">
        <v>129</v>
      </c>
      <c r="K132" s="38">
        <f t="shared" ca="1" si="2"/>
        <v>49616</v>
      </c>
      <c r="L132" s="40">
        <f t="shared" si="3"/>
        <v>30.4</v>
      </c>
    </row>
    <row r="133" spans="10:12" x14ac:dyDescent="0.2">
      <c r="J133" s="37">
        <v>130</v>
      </c>
      <c r="K133" s="38">
        <f t="shared" ref="K133:K196" ca="1" si="4">IF(($J$4:$J$363)&lt;=$H$1,(EOMONTH(K132,0)+$B$6))</f>
        <v>49646</v>
      </c>
      <c r="L133" s="40">
        <f t="shared" si="3"/>
        <v>30.4</v>
      </c>
    </row>
    <row r="134" spans="10:12" x14ac:dyDescent="0.2">
      <c r="J134" s="37">
        <v>131</v>
      </c>
      <c r="K134" s="38">
        <f t="shared" ca="1" si="4"/>
        <v>49677</v>
      </c>
      <c r="L134" s="40">
        <f t="shared" si="3"/>
        <v>30.4</v>
      </c>
    </row>
    <row r="135" spans="10:12" x14ac:dyDescent="0.2">
      <c r="J135" s="37">
        <v>132</v>
      </c>
      <c r="K135" s="38">
        <f t="shared" ca="1" si="4"/>
        <v>49708</v>
      </c>
      <c r="L135" s="40">
        <f t="shared" ref="L135:L198" si="5">IF($J$4:$J$363 &lt;= $H$1,$H$2,"")</f>
        <v>30.4</v>
      </c>
    </row>
    <row r="136" spans="10:12" x14ac:dyDescent="0.2">
      <c r="J136" s="37">
        <v>133</v>
      </c>
      <c r="K136" s="38">
        <f t="shared" ca="1" si="4"/>
        <v>49737</v>
      </c>
      <c r="L136" s="40">
        <f t="shared" si="5"/>
        <v>30.4</v>
      </c>
    </row>
    <row r="137" spans="10:12" x14ac:dyDescent="0.2">
      <c r="J137" s="37">
        <v>134</v>
      </c>
      <c r="K137" s="38">
        <f t="shared" ca="1" si="4"/>
        <v>49768</v>
      </c>
      <c r="L137" s="40">
        <f t="shared" si="5"/>
        <v>30.4</v>
      </c>
    </row>
    <row r="138" spans="10:12" x14ac:dyDescent="0.2">
      <c r="J138" s="37">
        <v>135</v>
      </c>
      <c r="K138" s="38">
        <f t="shared" ca="1" si="4"/>
        <v>49798</v>
      </c>
      <c r="L138" s="40">
        <f t="shared" si="5"/>
        <v>30.4</v>
      </c>
    </row>
    <row r="139" spans="10:12" x14ac:dyDescent="0.2">
      <c r="J139" s="37">
        <v>136</v>
      </c>
      <c r="K139" s="38">
        <f t="shared" ca="1" si="4"/>
        <v>49829</v>
      </c>
      <c r="L139" s="40">
        <f t="shared" si="5"/>
        <v>30.4</v>
      </c>
    </row>
    <row r="140" spans="10:12" x14ac:dyDescent="0.2">
      <c r="J140" s="37">
        <v>137</v>
      </c>
      <c r="K140" s="38">
        <f t="shared" ca="1" si="4"/>
        <v>49859</v>
      </c>
      <c r="L140" s="40">
        <f t="shared" si="5"/>
        <v>30.4</v>
      </c>
    </row>
    <row r="141" spans="10:12" x14ac:dyDescent="0.2">
      <c r="J141" s="37">
        <v>138</v>
      </c>
      <c r="K141" s="38">
        <f t="shared" ca="1" si="4"/>
        <v>49890</v>
      </c>
      <c r="L141" s="40">
        <f t="shared" si="5"/>
        <v>30.4</v>
      </c>
    </row>
    <row r="142" spans="10:12" x14ac:dyDescent="0.2">
      <c r="J142" s="37">
        <v>139</v>
      </c>
      <c r="K142" s="38">
        <f t="shared" ca="1" si="4"/>
        <v>49921</v>
      </c>
      <c r="L142" s="40">
        <f t="shared" si="5"/>
        <v>30.4</v>
      </c>
    </row>
    <row r="143" spans="10:12" x14ac:dyDescent="0.2">
      <c r="J143" s="37">
        <v>140</v>
      </c>
      <c r="K143" s="38">
        <f t="shared" ca="1" si="4"/>
        <v>49951</v>
      </c>
      <c r="L143" s="40">
        <f t="shared" si="5"/>
        <v>30.4</v>
      </c>
    </row>
    <row r="144" spans="10:12" x14ac:dyDescent="0.2">
      <c r="J144" s="37">
        <v>141</v>
      </c>
      <c r="K144" s="38">
        <f t="shared" ca="1" si="4"/>
        <v>49982</v>
      </c>
      <c r="L144" s="40">
        <f t="shared" si="5"/>
        <v>30.4</v>
      </c>
    </row>
    <row r="145" spans="10:12" x14ac:dyDescent="0.2">
      <c r="J145" s="37">
        <v>142</v>
      </c>
      <c r="K145" s="38">
        <f t="shared" ca="1" si="4"/>
        <v>50012</v>
      </c>
      <c r="L145" s="40">
        <f t="shared" si="5"/>
        <v>30.4</v>
      </c>
    </row>
    <row r="146" spans="10:12" x14ac:dyDescent="0.2">
      <c r="J146" s="37">
        <v>143</v>
      </c>
      <c r="K146" s="38">
        <f t="shared" ca="1" si="4"/>
        <v>50043</v>
      </c>
      <c r="L146" s="40">
        <f t="shared" si="5"/>
        <v>30.4</v>
      </c>
    </row>
    <row r="147" spans="10:12" x14ac:dyDescent="0.2">
      <c r="J147" s="37">
        <v>144</v>
      </c>
      <c r="K147" s="38">
        <f t="shared" ca="1" si="4"/>
        <v>50074</v>
      </c>
      <c r="L147" s="40">
        <f t="shared" si="5"/>
        <v>30.4</v>
      </c>
    </row>
    <row r="148" spans="10:12" x14ac:dyDescent="0.2">
      <c r="J148" s="37">
        <v>145</v>
      </c>
      <c r="K148" s="38">
        <f t="shared" ca="1" si="4"/>
        <v>50102</v>
      </c>
      <c r="L148" s="40">
        <f t="shared" si="5"/>
        <v>30.4</v>
      </c>
    </row>
    <row r="149" spans="10:12" x14ac:dyDescent="0.2">
      <c r="J149" s="37">
        <v>146</v>
      </c>
      <c r="K149" s="38">
        <f t="shared" ca="1" si="4"/>
        <v>50133</v>
      </c>
      <c r="L149" s="40">
        <f t="shared" si="5"/>
        <v>30.4</v>
      </c>
    </row>
    <row r="150" spans="10:12" x14ac:dyDescent="0.2">
      <c r="J150" s="37">
        <v>147</v>
      </c>
      <c r="K150" s="38">
        <f t="shared" ca="1" si="4"/>
        <v>50163</v>
      </c>
      <c r="L150" s="40">
        <f t="shared" si="5"/>
        <v>30.4</v>
      </c>
    </row>
    <row r="151" spans="10:12" x14ac:dyDescent="0.2">
      <c r="J151" s="37">
        <v>148</v>
      </c>
      <c r="K151" s="38">
        <f t="shared" ca="1" si="4"/>
        <v>50194</v>
      </c>
      <c r="L151" s="40">
        <f t="shared" si="5"/>
        <v>30.4</v>
      </c>
    </row>
    <row r="152" spans="10:12" x14ac:dyDescent="0.2">
      <c r="J152" s="37">
        <v>149</v>
      </c>
      <c r="K152" s="38">
        <f t="shared" ca="1" si="4"/>
        <v>50224</v>
      </c>
      <c r="L152" s="40">
        <f t="shared" si="5"/>
        <v>30.4</v>
      </c>
    </row>
    <row r="153" spans="10:12" x14ac:dyDescent="0.2">
      <c r="J153" s="37">
        <v>150</v>
      </c>
      <c r="K153" s="38">
        <f t="shared" ca="1" si="4"/>
        <v>50255</v>
      </c>
      <c r="L153" s="40">
        <f t="shared" si="5"/>
        <v>30.4</v>
      </c>
    </row>
    <row r="154" spans="10:12" x14ac:dyDescent="0.2">
      <c r="J154" s="37">
        <v>151</v>
      </c>
      <c r="K154" s="38">
        <f t="shared" ca="1" si="4"/>
        <v>50286</v>
      </c>
      <c r="L154" s="40">
        <f t="shared" si="5"/>
        <v>30.4</v>
      </c>
    </row>
    <row r="155" spans="10:12" x14ac:dyDescent="0.2">
      <c r="J155" s="37">
        <v>152</v>
      </c>
      <c r="K155" s="38">
        <f t="shared" ca="1" si="4"/>
        <v>50316</v>
      </c>
      <c r="L155" s="40">
        <f t="shared" si="5"/>
        <v>30.4</v>
      </c>
    </row>
    <row r="156" spans="10:12" x14ac:dyDescent="0.2">
      <c r="J156" s="37">
        <v>153</v>
      </c>
      <c r="K156" s="38">
        <f t="shared" ca="1" si="4"/>
        <v>50347</v>
      </c>
      <c r="L156" s="40">
        <f t="shared" si="5"/>
        <v>30.4</v>
      </c>
    </row>
    <row r="157" spans="10:12" x14ac:dyDescent="0.2">
      <c r="J157" s="37">
        <v>154</v>
      </c>
      <c r="K157" s="38">
        <f t="shared" ca="1" si="4"/>
        <v>50377</v>
      </c>
      <c r="L157" s="40">
        <f t="shared" si="5"/>
        <v>30.4</v>
      </c>
    </row>
    <row r="158" spans="10:12" x14ac:dyDescent="0.2">
      <c r="J158" s="37">
        <v>155</v>
      </c>
      <c r="K158" s="38">
        <f t="shared" ca="1" si="4"/>
        <v>50408</v>
      </c>
      <c r="L158" s="40">
        <f t="shared" si="5"/>
        <v>30.4</v>
      </c>
    </row>
    <row r="159" spans="10:12" x14ac:dyDescent="0.2">
      <c r="J159" s="37">
        <v>156</v>
      </c>
      <c r="K159" s="38">
        <f t="shared" ca="1" si="4"/>
        <v>50439</v>
      </c>
      <c r="L159" s="40">
        <f t="shared" si="5"/>
        <v>30.4</v>
      </c>
    </row>
    <row r="160" spans="10:12" x14ac:dyDescent="0.2">
      <c r="J160" s="37">
        <v>157</v>
      </c>
      <c r="K160" s="38">
        <f t="shared" ca="1" si="4"/>
        <v>50467</v>
      </c>
      <c r="L160" s="40">
        <f t="shared" si="5"/>
        <v>30.4</v>
      </c>
    </row>
    <row r="161" spans="10:12" x14ac:dyDescent="0.2">
      <c r="J161" s="37">
        <v>158</v>
      </c>
      <c r="K161" s="38">
        <f t="shared" ca="1" si="4"/>
        <v>50498</v>
      </c>
      <c r="L161" s="40">
        <f t="shared" si="5"/>
        <v>30.4</v>
      </c>
    </row>
    <row r="162" spans="10:12" x14ac:dyDescent="0.2">
      <c r="J162" s="37">
        <v>159</v>
      </c>
      <c r="K162" s="38">
        <f t="shared" ca="1" si="4"/>
        <v>50528</v>
      </c>
      <c r="L162" s="40">
        <f t="shared" si="5"/>
        <v>30.4</v>
      </c>
    </row>
    <row r="163" spans="10:12" x14ac:dyDescent="0.2">
      <c r="J163" s="37">
        <v>160</v>
      </c>
      <c r="K163" s="38">
        <f t="shared" ca="1" si="4"/>
        <v>50559</v>
      </c>
      <c r="L163" s="40">
        <f t="shared" si="5"/>
        <v>30.4</v>
      </c>
    </row>
    <row r="164" spans="10:12" x14ac:dyDescent="0.2">
      <c r="J164" s="37">
        <v>161</v>
      </c>
      <c r="K164" s="38">
        <f t="shared" ca="1" si="4"/>
        <v>50589</v>
      </c>
      <c r="L164" s="40">
        <f t="shared" si="5"/>
        <v>30.4</v>
      </c>
    </row>
    <row r="165" spans="10:12" x14ac:dyDescent="0.2">
      <c r="J165" s="37">
        <v>162</v>
      </c>
      <c r="K165" s="38">
        <f t="shared" ca="1" si="4"/>
        <v>50620</v>
      </c>
      <c r="L165" s="40">
        <f t="shared" si="5"/>
        <v>30.4</v>
      </c>
    </row>
    <row r="166" spans="10:12" x14ac:dyDescent="0.2">
      <c r="J166" s="37">
        <v>163</v>
      </c>
      <c r="K166" s="38">
        <f t="shared" ca="1" si="4"/>
        <v>50651</v>
      </c>
      <c r="L166" s="40">
        <f t="shared" si="5"/>
        <v>30.4</v>
      </c>
    </row>
    <row r="167" spans="10:12" x14ac:dyDescent="0.2">
      <c r="J167" s="37">
        <v>164</v>
      </c>
      <c r="K167" s="38">
        <f t="shared" ca="1" si="4"/>
        <v>50681</v>
      </c>
      <c r="L167" s="40">
        <f t="shared" si="5"/>
        <v>30.4</v>
      </c>
    </row>
    <row r="168" spans="10:12" x14ac:dyDescent="0.2">
      <c r="J168" s="37">
        <v>165</v>
      </c>
      <c r="K168" s="38">
        <f t="shared" ca="1" si="4"/>
        <v>50712</v>
      </c>
      <c r="L168" s="40">
        <f t="shared" si="5"/>
        <v>30.4</v>
      </c>
    </row>
    <row r="169" spans="10:12" x14ac:dyDescent="0.2">
      <c r="J169" s="37">
        <v>166</v>
      </c>
      <c r="K169" s="38">
        <f t="shared" ca="1" si="4"/>
        <v>50742</v>
      </c>
      <c r="L169" s="40">
        <f t="shared" si="5"/>
        <v>30.4</v>
      </c>
    </row>
    <row r="170" spans="10:12" x14ac:dyDescent="0.2">
      <c r="J170" s="37">
        <v>167</v>
      </c>
      <c r="K170" s="38">
        <f t="shared" ca="1" si="4"/>
        <v>50773</v>
      </c>
      <c r="L170" s="40">
        <f t="shared" si="5"/>
        <v>30.4</v>
      </c>
    </row>
    <row r="171" spans="10:12" x14ac:dyDescent="0.2">
      <c r="J171" s="37">
        <v>168</v>
      </c>
      <c r="K171" s="38">
        <f t="shared" ca="1" si="4"/>
        <v>50804</v>
      </c>
      <c r="L171" s="40">
        <f t="shared" si="5"/>
        <v>30.4</v>
      </c>
    </row>
    <row r="172" spans="10:12" x14ac:dyDescent="0.2">
      <c r="J172" s="37">
        <v>169</v>
      </c>
      <c r="K172" s="38">
        <f t="shared" ca="1" si="4"/>
        <v>50832</v>
      </c>
      <c r="L172" s="40">
        <f t="shared" si="5"/>
        <v>30.4</v>
      </c>
    </row>
    <row r="173" spans="10:12" x14ac:dyDescent="0.2">
      <c r="J173" s="37">
        <v>170</v>
      </c>
      <c r="K173" s="38">
        <f t="shared" ca="1" si="4"/>
        <v>50863</v>
      </c>
      <c r="L173" s="40">
        <f t="shared" si="5"/>
        <v>30.4</v>
      </c>
    </row>
    <row r="174" spans="10:12" x14ac:dyDescent="0.2">
      <c r="J174" s="37">
        <v>171</v>
      </c>
      <c r="K174" s="38">
        <f t="shared" ca="1" si="4"/>
        <v>50893</v>
      </c>
      <c r="L174" s="40">
        <f t="shared" si="5"/>
        <v>30.4</v>
      </c>
    </row>
    <row r="175" spans="10:12" x14ac:dyDescent="0.2">
      <c r="J175" s="37">
        <v>172</v>
      </c>
      <c r="K175" s="38">
        <f t="shared" ca="1" si="4"/>
        <v>50924</v>
      </c>
      <c r="L175" s="40">
        <f t="shared" si="5"/>
        <v>30.4</v>
      </c>
    </row>
    <row r="176" spans="10:12" x14ac:dyDescent="0.2">
      <c r="J176" s="37">
        <v>173</v>
      </c>
      <c r="K176" s="38">
        <f t="shared" ca="1" si="4"/>
        <v>50954</v>
      </c>
      <c r="L176" s="40">
        <f t="shared" si="5"/>
        <v>30.4</v>
      </c>
    </row>
    <row r="177" spans="10:12" x14ac:dyDescent="0.2">
      <c r="J177" s="37">
        <v>174</v>
      </c>
      <c r="K177" s="38">
        <f t="shared" ca="1" si="4"/>
        <v>50985</v>
      </c>
      <c r="L177" s="40">
        <f t="shared" si="5"/>
        <v>30.4</v>
      </c>
    </row>
    <row r="178" spans="10:12" x14ac:dyDescent="0.2">
      <c r="J178" s="37">
        <v>175</v>
      </c>
      <c r="K178" s="38">
        <f t="shared" ca="1" si="4"/>
        <v>51016</v>
      </c>
      <c r="L178" s="40">
        <f t="shared" si="5"/>
        <v>30.4</v>
      </c>
    </row>
    <row r="179" spans="10:12" x14ac:dyDescent="0.2">
      <c r="J179" s="37">
        <v>176</v>
      </c>
      <c r="K179" s="38">
        <f t="shared" ca="1" si="4"/>
        <v>51046</v>
      </c>
      <c r="L179" s="40">
        <f t="shared" si="5"/>
        <v>30.4</v>
      </c>
    </row>
    <row r="180" spans="10:12" x14ac:dyDescent="0.2">
      <c r="J180" s="37">
        <v>177</v>
      </c>
      <c r="K180" s="38">
        <f t="shared" ca="1" si="4"/>
        <v>51077</v>
      </c>
      <c r="L180" s="40">
        <f t="shared" si="5"/>
        <v>30.4</v>
      </c>
    </row>
    <row r="181" spans="10:12" x14ac:dyDescent="0.2">
      <c r="J181" s="37">
        <v>178</v>
      </c>
      <c r="K181" s="38">
        <f t="shared" ca="1" si="4"/>
        <v>51107</v>
      </c>
      <c r="L181" s="40">
        <f t="shared" si="5"/>
        <v>30.4</v>
      </c>
    </row>
    <row r="182" spans="10:12" x14ac:dyDescent="0.2">
      <c r="J182" s="37">
        <v>179</v>
      </c>
      <c r="K182" s="38">
        <f t="shared" ca="1" si="4"/>
        <v>51138</v>
      </c>
      <c r="L182" s="40">
        <f t="shared" si="5"/>
        <v>30.4</v>
      </c>
    </row>
    <row r="183" spans="10:12" x14ac:dyDescent="0.2">
      <c r="J183" s="37">
        <v>180</v>
      </c>
      <c r="K183" s="38">
        <f t="shared" ca="1" si="4"/>
        <v>51169</v>
      </c>
      <c r="L183" s="40">
        <f t="shared" si="5"/>
        <v>30.4</v>
      </c>
    </row>
    <row r="184" spans="10:12" x14ac:dyDescent="0.2">
      <c r="J184" s="37">
        <v>181</v>
      </c>
      <c r="K184" s="38">
        <f t="shared" ca="1" si="4"/>
        <v>51198</v>
      </c>
      <c r="L184" s="40">
        <f t="shared" si="5"/>
        <v>30.4</v>
      </c>
    </row>
    <row r="185" spans="10:12" x14ac:dyDescent="0.2">
      <c r="J185" s="37">
        <v>182</v>
      </c>
      <c r="K185" s="38">
        <f t="shared" ca="1" si="4"/>
        <v>51229</v>
      </c>
      <c r="L185" s="40">
        <f t="shared" si="5"/>
        <v>30.4</v>
      </c>
    </row>
    <row r="186" spans="10:12" x14ac:dyDescent="0.2">
      <c r="J186" s="37">
        <v>183</v>
      </c>
      <c r="K186" s="38">
        <f t="shared" ca="1" si="4"/>
        <v>51259</v>
      </c>
      <c r="L186" s="40">
        <f t="shared" si="5"/>
        <v>30.4</v>
      </c>
    </row>
    <row r="187" spans="10:12" x14ac:dyDescent="0.2">
      <c r="J187" s="37">
        <v>184</v>
      </c>
      <c r="K187" s="38">
        <f t="shared" ca="1" si="4"/>
        <v>51290</v>
      </c>
      <c r="L187" s="40">
        <f t="shared" si="5"/>
        <v>30.4</v>
      </c>
    </row>
    <row r="188" spans="10:12" x14ac:dyDescent="0.2">
      <c r="J188" s="37">
        <v>185</v>
      </c>
      <c r="K188" s="38">
        <f t="shared" ca="1" si="4"/>
        <v>51320</v>
      </c>
      <c r="L188" s="40">
        <f t="shared" si="5"/>
        <v>30.4</v>
      </c>
    </row>
    <row r="189" spans="10:12" x14ac:dyDescent="0.2">
      <c r="J189" s="37">
        <v>186</v>
      </c>
      <c r="K189" s="38">
        <f t="shared" ca="1" si="4"/>
        <v>51351</v>
      </c>
      <c r="L189" s="40">
        <f t="shared" si="5"/>
        <v>30.4</v>
      </c>
    </row>
    <row r="190" spans="10:12" x14ac:dyDescent="0.2">
      <c r="J190" s="37">
        <v>187</v>
      </c>
      <c r="K190" s="38">
        <f t="shared" ca="1" si="4"/>
        <v>51382</v>
      </c>
      <c r="L190" s="40">
        <f t="shared" si="5"/>
        <v>30.4</v>
      </c>
    </row>
    <row r="191" spans="10:12" x14ac:dyDescent="0.2">
      <c r="J191" s="37">
        <v>188</v>
      </c>
      <c r="K191" s="38">
        <f t="shared" ca="1" si="4"/>
        <v>51412</v>
      </c>
      <c r="L191" s="40">
        <f t="shared" si="5"/>
        <v>30.4</v>
      </c>
    </row>
    <row r="192" spans="10:12" x14ac:dyDescent="0.2">
      <c r="J192" s="37">
        <v>189</v>
      </c>
      <c r="K192" s="38">
        <f t="shared" ca="1" si="4"/>
        <v>51443</v>
      </c>
      <c r="L192" s="40">
        <f t="shared" si="5"/>
        <v>30.4</v>
      </c>
    </row>
    <row r="193" spans="10:12" x14ac:dyDescent="0.2">
      <c r="J193" s="37">
        <v>190</v>
      </c>
      <c r="K193" s="38">
        <f t="shared" ca="1" si="4"/>
        <v>51473</v>
      </c>
      <c r="L193" s="40">
        <f t="shared" si="5"/>
        <v>30.4</v>
      </c>
    </row>
    <row r="194" spans="10:12" x14ac:dyDescent="0.2">
      <c r="J194" s="37">
        <v>191</v>
      </c>
      <c r="K194" s="38">
        <f t="shared" ca="1" si="4"/>
        <v>51504</v>
      </c>
      <c r="L194" s="40">
        <f t="shared" si="5"/>
        <v>30.4</v>
      </c>
    </row>
    <row r="195" spans="10:12" x14ac:dyDescent="0.2">
      <c r="J195" s="37">
        <v>192</v>
      </c>
      <c r="K195" s="38">
        <f t="shared" ca="1" si="4"/>
        <v>51535</v>
      </c>
      <c r="L195" s="40">
        <f t="shared" si="5"/>
        <v>30.4</v>
      </c>
    </row>
    <row r="196" spans="10:12" x14ac:dyDescent="0.2">
      <c r="J196" s="37">
        <v>193</v>
      </c>
      <c r="K196" s="38">
        <f t="shared" ca="1" si="4"/>
        <v>51563</v>
      </c>
      <c r="L196" s="40">
        <f t="shared" si="5"/>
        <v>30.4</v>
      </c>
    </row>
    <row r="197" spans="10:12" x14ac:dyDescent="0.2">
      <c r="J197" s="37">
        <v>194</v>
      </c>
      <c r="K197" s="38">
        <f t="shared" ref="K197:K260" ca="1" si="6">IF(($J$4:$J$363)&lt;=$H$1,(EOMONTH(K196,0)+$B$6))</f>
        <v>51594</v>
      </c>
      <c r="L197" s="40">
        <f t="shared" si="5"/>
        <v>30.4</v>
      </c>
    </row>
    <row r="198" spans="10:12" x14ac:dyDescent="0.2">
      <c r="J198" s="37">
        <v>195</v>
      </c>
      <c r="K198" s="38">
        <f t="shared" ca="1" si="6"/>
        <v>51624</v>
      </c>
      <c r="L198" s="40">
        <f t="shared" si="5"/>
        <v>30.4</v>
      </c>
    </row>
    <row r="199" spans="10:12" x14ac:dyDescent="0.2">
      <c r="J199" s="37">
        <v>196</v>
      </c>
      <c r="K199" s="38">
        <f t="shared" ca="1" si="6"/>
        <v>51655</v>
      </c>
      <c r="L199" s="40">
        <f t="shared" ref="L199:L262" si="7">IF($J$4:$J$363 &lt;= $H$1,$H$2,"")</f>
        <v>30.4</v>
      </c>
    </row>
    <row r="200" spans="10:12" x14ac:dyDescent="0.2">
      <c r="J200" s="37">
        <v>197</v>
      </c>
      <c r="K200" s="38">
        <f t="shared" ca="1" si="6"/>
        <v>51685</v>
      </c>
      <c r="L200" s="40">
        <f t="shared" si="7"/>
        <v>30.4</v>
      </c>
    </row>
    <row r="201" spans="10:12" x14ac:dyDescent="0.2">
      <c r="J201" s="37">
        <v>198</v>
      </c>
      <c r="K201" s="38">
        <f t="shared" ca="1" si="6"/>
        <v>51716</v>
      </c>
      <c r="L201" s="40">
        <f t="shared" si="7"/>
        <v>30.4</v>
      </c>
    </row>
    <row r="202" spans="10:12" x14ac:dyDescent="0.2">
      <c r="J202" s="37">
        <v>199</v>
      </c>
      <c r="K202" s="38">
        <f t="shared" ca="1" si="6"/>
        <v>51747</v>
      </c>
      <c r="L202" s="40">
        <f t="shared" si="7"/>
        <v>30.4</v>
      </c>
    </row>
    <row r="203" spans="10:12" x14ac:dyDescent="0.2">
      <c r="J203" s="37">
        <v>200</v>
      </c>
      <c r="K203" s="38">
        <f t="shared" ca="1" si="6"/>
        <v>51777</v>
      </c>
      <c r="L203" s="40">
        <f t="shared" si="7"/>
        <v>30.4</v>
      </c>
    </row>
    <row r="204" spans="10:12" x14ac:dyDescent="0.2">
      <c r="J204" s="37">
        <v>201</v>
      </c>
      <c r="K204" s="38">
        <f t="shared" ca="1" si="6"/>
        <v>51808</v>
      </c>
      <c r="L204" s="40">
        <f t="shared" si="7"/>
        <v>30.4</v>
      </c>
    </row>
    <row r="205" spans="10:12" x14ac:dyDescent="0.2">
      <c r="J205" s="37">
        <v>202</v>
      </c>
      <c r="K205" s="38">
        <f t="shared" ca="1" si="6"/>
        <v>51838</v>
      </c>
      <c r="L205" s="40">
        <f t="shared" si="7"/>
        <v>30.4</v>
      </c>
    </row>
    <row r="206" spans="10:12" x14ac:dyDescent="0.2">
      <c r="J206" s="37">
        <v>203</v>
      </c>
      <c r="K206" s="38">
        <f t="shared" ca="1" si="6"/>
        <v>51869</v>
      </c>
      <c r="L206" s="40">
        <f t="shared" si="7"/>
        <v>30.4</v>
      </c>
    </row>
    <row r="207" spans="10:12" x14ac:dyDescent="0.2">
      <c r="J207" s="37">
        <v>204</v>
      </c>
      <c r="K207" s="38">
        <f t="shared" ca="1" si="6"/>
        <v>51900</v>
      </c>
      <c r="L207" s="40">
        <f t="shared" si="7"/>
        <v>30.4</v>
      </c>
    </row>
    <row r="208" spans="10:12" x14ac:dyDescent="0.2">
      <c r="J208" s="37">
        <v>205</v>
      </c>
      <c r="K208" s="38">
        <f t="shared" ca="1" si="6"/>
        <v>51928</v>
      </c>
      <c r="L208" s="40">
        <f t="shared" si="7"/>
        <v>30.4</v>
      </c>
    </row>
    <row r="209" spans="10:12" x14ac:dyDescent="0.2">
      <c r="J209" s="37">
        <v>206</v>
      </c>
      <c r="K209" s="38">
        <f t="shared" ca="1" si="6"/>
        <v>51959</v>
      </c>
      <c r="L209" s="40">
        <f t="shared" si="7"/>
        <v>30.4</v>
      </c>
    </row>
    <row r="210" spans="10:12" x14ac:dyDescent="0.2">
      <c r="J210" s="37">
        <v>207</v>
      </c>
      <c r="K210" s="38">
        <f t="shared" ca="1" si="6"/>
        <v>51989</v>
      </c>
      <c r="L210" s="40">
        <f t="shared" si="7"/>
        <v>30.4</v>
      </c>
    </row>
    <row r="211" spans="10:12" x14ac:dyDescent="0.2">
      <c r="J211" s="37">
        <v>208</v>
      </c>
      <c r="K211" s="38">
        <f t="shared" ca="1" si="6"/>
        <v>52020</v>
      </c>
      <c r="L211" s="40">
        <f t="shared" si="7"/>
        <v>30.4</v>
      </c>
    </row>
    <row r="212" spans="10:12" x14ac:dyDescent="0.2">
      <c r="J212" s="37">
        <v>209</v>
      </c>
      <c r="K212" s="38">
        <f t="shared" ca="1" si="6"/>
        <v>52050</v>
      </c>
      <c r="L212" s="40">
        <f t="shared" si="7"/>
        <v>30.4</v>
      </c>
    </row>
    <row r="213" spans="10:12" x14ac:dyDescent="0.2">
      <c r="J213" s="37">
        <v>210</v>
      </c>
      <c r="K213" s="38">
        <f t="shared" ca="1" si="6"/>
        <v>52081</v>
      </c>
      <c r="L213" s="40">
        <f t="shared" si="7"/>
        <v>30.4</v>
      </c>
    </row>
    <row r="214" spans="10:12" x14ac:dyDescent="0.2">
      <c r="J214" s="37">
        <v>211</v>
      </c>
      <c r="K214" s="38">
        <f t="shared" ca="1" si="6"/>
        <v>52112</v>
      </c>
      <c r="L214" s="40">
        <f t="shared" si="7"/>
        <v>30.4</v>
      </c>
    </row>
    <row r="215" spans="10:12" x14ac:dyDescent="0.2">
      <c r="J215" s="37">
        <v>212</v>
      </c>
      <c r="K215" s="38">
        <f t="shared" ca="1" si="6"/>
        <v>52142</v>
      </c>
      <c r="L215" s="40">
        <f t="shared" si="7"/>
        <v>30.4</v>
      </c>
    </row>
    <row r="216" spans="10:12" x14ac:dyDescent="0.2">
      <c r="J216" s="37">
        <v>213</v>
      </c>
      <c r="K216" s="38">
        <f t="shared" ca="1" si="6"/>
        <v>52173</v>
      </c>
      <c r="L216" s="40">
        <f t="shared" si="7"/>
        <v>30.4</v>
      </c>
    </row>
    <row r="217" spans="10:12" x14ac:dyDescent="0.2">
      <c r="J217" s="37">
        <v>214</v>
      </c>
      <c r="K217" s="38">
        <f t="shared" ca="1" si="6"/>
        <v>52203</v>
      </c>
      <c r="L217" s="40">
        <f t="shared" si="7"/>
        <v>30.4</v>
      </c>
    </row>
    <row r="218" spans="10:12" x14ac:dyDescent="0.2">
      <c r="J218" s="37">
        <v>215</v>
      </c>
      <c r="K218" s="38">
        <f t="shared" ca="1" si="6"/>
        <v>52234</v>
      </c>
      <c r="L218" s="40">
        <f t="shared" si="7"/>
        <v>30.4</v>
      </c>
    </row>
    <row r="219" spans="10:12" x14ac:dyDescent="0.2">
      <c r="J219" s="37">
        <v>216</v>
      </c>
      <c r="K219" s="38">
        <f t="shared" ca="1" si="6"/>
        <v>52265</v>
      </c>
      <c r="L219" s="40">
        <f t="shared" si="7"/>
        <v>30.4</v>
      </c>
    </row>
    <row r="220" spans="10:12" x14ac:dyDescent="0.2">
      <c r="J220" s="37">
        <v>217</v>
      </c>
      <c r="K220" s="38">
        <f t="shared" ca="1" si="6"/>
        <v>52293</v>
      </c>
      <c r="L220" s="40">
        <f t="shared" si="7"/>
        <v>30.4</v>
      </c>
    </row>
    <row r="221" spans="10:12" x14ac:dyDescent="0.2">
      <c r="J221" s="37">
        <v>218</v>
      </c>
      <c r="K221" s="38">
        <f t="shared" ca="1" si="6"/>
        <v>52324</v>
      </c>
      <c r="L221" s="40">
        <f t="shared" si="7"/>
        <v>30.4</v>
      </c>
    </row>
    <row r="222" spans="10:12" x14ac:dyDescent="0.2">
      <c r="J222" s="37">
        <v>219</v>
      </c>
      <c r="K222" s="38">
        <f t="shared" ca="1" si="6"/>
        <v>52354</v>
      </c>
      <c r="L222" s="40">
        <f t="shared" si="7"/>
        <v>30.4</v>
      </c>
    </row>
    <row r="223" spans="10:12" x14ac:dyDescent="0.2">
      <c r="J223" s="37">
        <v>220</v>
      </c>
      <c r="K223" s="38">
        <f t="shared" ca="1" si="6"/>
        <v>52385</v>
      </c>
      <c r="L223" s="40">
        <f t="shared" si="7"/>
        <v>30.4</v>
      </c>
    </row>
    <row r="224" spans="10:12" x14ac:dyDescent="0.2">
      <c r="J224" s="37">
        <v>221</v>
      </c>
      <c r="K224" s="38">
        <f t="shared" ca="1" si="6"/>
        <v>52415</v>
      </c>
      <c r="L224" s="40">
        <f t="shared" si="7"/>
        <v>30.4</v>
      </c>
    </row>
    <row r="225" spans="10:12" x14ac:dyDescent="0.2">
      <c r="J225" s="37">
        <v>222</v>
      </c>
      <c r="K225" s="38">
        <f t="shared" ca="1" si="6"/>
        <v>52446</v>
      </c>
      <c r="L225" s="40">
        <f t="shared" si="7"/>
        <v>30.4</v>
      </c>
    </row>
    <row r="226" spans="10:12" x14ac:dyDescent="0.2">
      <c r="J226" s="37">
        <v>223</v>
      </c>
      <c r="K226" s="38">
        <f t="shared" ca="1" si="6"/>
        <v>52477</v>
      </c>
      <c r="L226" s="40">
        <f t="shared" si="7"/>
        <v>30.4</v>
      </c>
    </row>
    <row r="227" spans="10:12" x14ac:dyDescent="0.2">
      <c r="J227" s="37">
        <v>224</v>
      </c>
      <c r="K227" s="38">
        <f t="shared" ca="1" si="6"/>
        <v>52507</v>
      </c>
      <c r="L227" s="40">
        <f t="shared" si="7"/>
        <v>30.4</v>
      </c>
    </row>
    <row r="228" spans="10:12" x14ac:dyDescent="0.2">
      <c r="J228" s="37">
        <v>225</v>
      </c>
      <c r="K228" s="38">
        <f t="shared" ca="1" si="6"/>
        <v>52538</v>
      </c>
      <c r="L228" s="40">
        <f t="shared" si="7"/>
        <v>30.4</v>
      </c>
    </row>
    <row r="229" spans="10:12" x14ac:dyDescent="0.2">
      <c r="J229" s="37">
        <v>226</v>
      </c>
      <c r="K229" s="38">
        <f t="shared" ca="1" si="6"/>
        <v>52568</v>
      </c>
      <c r="L229" s="40">
        <f t="shared" si="7"/>
        <v>30.4</v>
      </c>
    </row>
    <row r="230" spans="10:12" x14ac:dyDescent="0.2">
      <c r="J230" s="37">
        <v>227</v>
      </c>
      <c r="K230" s="38">
        <f t="shared" ca="1" si="6"/>
        <v>52599</v>
      </c>
      <c r="L230" s="40">
        <f t="shared" si="7"/>
        <v>30.4</v>
      </c>
    </row>
    <row r="231" spans="10:12" x14ac:dyDescent="0.2">
      <c r="J231" s="37">
        <v>228</v>
      </c>
      <c r="K231" s="38">
        <f t="shared" ca="1" si="6"/>
        <v>52630</v>
      </c>
      <c r="L231" s="40">
        <f t="shared" si="7"/>
        <v>30.4</v>
      </c>
    </row>
    <row r="232" spans="10:12" x14ac:dyDescent="0.2">
      <c r="J232" s="37">
        <v>229</v>
      </c>
      <c r="K232" s="38">
        <f t="shared" ca="1" si="6"/>
        <v>52659</v>
      </c>
      <c r="L232" s="40">
        <f t="shared" si="7"/>
        <v>30.4</v>
      </c>
    </row>
    <row r="233" spans="10:12" x14ac:dyDescent="0.2">
      <c r="J233" s="37">
        <v>230</v>
      </c>
      <c r="K233" s="38">
        <f t="shared" ca="1" si="6"/>
        <v>52690</v>
      </c>
      <c r="L233" s="40">
        <f t="shared" si="7"/>
        <v>30.4</v>
      </c>
    </row>
    <row r="234" spans="10:12" x14ac:dyDescent="0.2">
      <c r="J234" s="37">
        <v>231</v>
      </c>
      <c r="K234" s="38">
        <f t="shared" ca="1" si="6"/>
        <v>52720</v>
      </c>
      <c r="L234" s="40">
        <f t="shared" si="7"/>
        <v>30.4</v>
      </c>
    </row>
    <row r="235" spans="10:12" x14ac:dyDescent="0.2">
      <c r="J235" s="37">
        <v>232</v>
      </c>
      <c r="K235" s="38">
        <f t="shared" ca="1" si="6"/>
        <v>52751</v>
      </c>
      <c r="L235" s="40">
        <f t="shared" si="7"/>
        <v>30.4</v>
      </c>
    </row>
    <row r="236" spans="10:12" x14ac:dyDescent="0.2">
      <c r="J236" s="37">
        <v>233</v>
      </c>
      <c r="K236" s="38">
        <f t="shared" ca="1" si="6"/>
        <v>52781</v>
      </c>
      <c r="L236" s="40">
        <f t="shared" si="7"/>
        <v>30.4</v>
      </c>
    </row>
    <row r="237" spans="10:12" x14ac:dyDescent="0.2">
      <c r="J237" s="37">
        <v>234</v>
      </c>
      <c r="K237" s="38">
        <f t="shared" ca="1" si="6"/>
        <v>52812</v>
      </c>
      <c r="L237" s="40">
        <f t="shared" si="7"/>
        <v>30.4</v>
      </c>
    </row>
    <row r="238" spans="10:12" x14ac:dyDescent="0.2">
      <c r="J238" s="37">
        <v>235</v>
      </c>
      <c r="K238" s="38">
        <f t="shared" ca="1" si="6"/>
        <v>52843</v>
      </c>
      <c r="L238" s="40">
        <f t="shared" si="7"/>
        <v>30.4</v>
      </c>
    </row>
    <row r="239" spans="10:12" x14ac:dyDescent="0.2">
      <c r="J239" s="37">
        <v>236</v>
      </c>
      <c r="K239" s="38">
        <f t="shared" ca="1" si="6"/>
        <v>52873</v>
      </c>
      <c r="L239" s="40">
        <f t="shared" si="7"/>
        <v>30.4</v>
      </c>
    </row>
    <row r="240" spans="10:12" x14ac:dyDescent="0.2">
      <c r="J240" s="37">
        <v>237</v>
      </c>
      <c r="K240" s="38">
        <f t="shared" ca="1" si="6"/>
        <v>52904</v>
      </c>
      <c r="L240" s="40">
        <f t="shared" si="7"/>
        <v>30.4</v>
      </c>
    </row>
    <row r="241" spans="10:12" x14ac:dyDescent="0.2">
      <c r="J241" s="37">
        <v>238</v>
      </c>
      <c r="K241" s="38">
        <f t="shared" ca="1" si="6"/>
        <v>52934</v>
      </c>
      <c r="L241" s="40">
        <f t="shared" si="7"/>
        <v>30.4</v>
      </c>
    </row>
    <row r="242" spans="10:12" x14ac:dyDescent="0.2">
      <c r="J242" s="37">
        <v>239</v>
      </c>
      <c r="K242" s="38">
        <f t="shared" ca="1" si="6"/>
        <v>52965</v>
      </c>
      <c r="L242" s="40">
        <f t="shared" si="7"/>
        <v>30.4</v>
      </c>
    </row>
    <row r="243" spans="10:12" x14ac:dyDescent="0.2">
      <c r="J243" s="37">
        <v>240</v>
      </c>
      <c r="K243" s="38">
        <f t="shared" ca="1" si="6"/>
        <v>52996</v>
      </c>
      <c r="L243" s="40">
        <f t="shared" si="7"/>
        <v>30.4</v>
      </c>
    </row>
    <row r="244" spans="10:12" x14ac:dyDescent="0.2">
      <c r="J244" s="37">
        <v>241</v>
      </c>
      <c r="K244" s="38" t="b">
        <f t="shared" si="6"/>
        <v>0</v>
      </c>
      <c r="L244" s="40" t="str">
        <f t="shared" si="7"/>
        <v/>
      </c>
    </row>
    <row r="245" spans="10:12" x14ac:dyDescent="0.2">
      <c r="J245" s="37">
        <v>242</v>
      </c>
      <c r="K245" s="38" t="b">
        <f t="shared" si="6"/>
        <v>0</v>
      </c>
      <c r="L245" s="40" t="str">
        <f t="shared" si="7"/>
        <v/>
      </c>
    </row>
    <row r="246" spans="10:12" x14ac:dyDescent="0.2">
      <c r="J246" s="37">
        <v>243</v>
      </c>
      <c r="K246" s="38" t="b">
        <f t="shared" si="6"/>
        <v>0</v>
      </c>
      <c r="L246" s="40" t="str">
        <f t="shared" si="7"/>
        <v/>
      </c>
    </row>
    <row r="247" spans="10:12" x14ac:dyDescent="0.2">
      <c r="J247" s="37">
        <v>244</v>
      </c>
      <c r="K247" s="38" t="b">
        <f t="shared" si="6"/>
        <v>0</v>
      </c>
      <c r="L247" s="40" t="str">
        <f t="shared" si="7"/>
        <v/>
      </c>
    </row>
    <row r="248" spans="10:12" x14ac:dyDescent="0.2">
      <c r="J248" s="37">
        <v>245</v>
      </c>
      <c r="K248" s="38" t="b">
        <f t="shared" si="6"/>
        <v>0</v>
      </c>
      <c r="L248" s="40" t="str">
        <f t="shared" si="7"/>
        <v/>
      </c>
    </row>
    <row r="249" spans="10:12" x14ac:dyDescent="0.2">
      <c r="J249" s="37">
        <v>246</v>
      </c>
      <c r="K249" s="38" t="b">
        <f t="shared" si="6"/>
        <v>0</v>
      </c>
      <c r="L249" s="40" t="str">
        <f t="shared" si="7"/>
        <v/>
      </c>
    </row>
    <row r="250" spans="10:12" x14ac:dyDescent="0.2">
      <c r="J250" s="37">
        <v>247</v>
      </c>
      <c r="K250" s="38" t="b">
        <f t="shared" si="6"/>
        <v>0</v>
      </c>
      <c r="L250" s="40" t="str">
        <f t="shared" si="7"/>
        <v/>
      </c>
    </row>
    <row r="251" spans="10:12" x14ac:dyDescent="0.2">
      <c r="J251" s="37">
        <v>248</v>
      </c>
      <c r="K251" s="38" t="b">
        <f t="shared" si="6"/>
        <v>0</v>
      </c>
      <c r="L251" s="40" t="str">
        <f t="shared" si="7"/>
        <v/>
      </c>
    </row>
    <row r="252" spans="10:12" x14ac:dyDescent="0.2">
      <c r="J252" s="37">
        <v>249</v>
      </c>
      <c r="K252" s="38" t="b">
        <f t="shared" si="6"/>
        <v>0</v>
      </c>
      <c r="L252" s="40" t="str">
        <f t="shared" si="7"/>
        <v/>
      </c>
    </row>
    <row r="253" spans="10:12" x14ac:dyDescent="0.2">
      <c r="J253" s="37">
        <v>250</v>
      </c>
      <c r="K253" s="38" t="b">
        <f t="shared" si="6"/>
        <v>0</v>
      </c>
      <c r="L253" s="40" t="str">
        <f t="shared" si="7"/>
        <v/>
      </c>
    </row>
    <row r="254" spans="10:12" x14ac:dyDescent="0.2">
      <c r="J254" s="37">
        <v>251</v>
      </c>
      <c r="K254" s="38" t="b">
        <f t="shared" si="6"/>
        <v>0</v>
      </c>
      <c r="L254" s="40" t="str">
        <f t="shared" si="7"/>
        <v/>
      </c>
    </row>
    <row r="255" spans="10:12" x14ac:dyDescent="0.2">
      <c r="J255" s="37">
        <v>252</v>
      </c>
      <c r="K255" s="38" t="b">
        <f t="shared" si="6"/>
        <v>0</v>
      </c>
      <c r="L255" s="40" t="str">
        <f t="shared" si="7"/>
        <v/>
      </c>
    </row>
    <row r="256" spans="10:12" x14ac:dyDescent="0.2">
      <c r="J256" s="37">
        <v>253</v>
      </c>
      <c r="K256" s="38" t="b">
        <f t="shared" si="6"/>
        <v>0</v>
      </c>
      <c r="L256" s="40" t="str">
        <f t="shared" si="7"/>
        <v/>
      </c>
    </row>
    <row r="257" spans="10:12" x14ac:dyDescent="0.2">
      <c r="J257" s="37">
        <v>254</v>
      </c>
      <c r="K257" s="38" t="b">
        <f t="shared" si="6"/>
        <v>0</v>
      </c>
      <c r="L257" s="40" t="str">
        <f t="shared" si="7"/>
        <v/>
      </c>
    </row>
    <row r="258" spans="10:12" x14ac:dyDescent="0.2">
      <c r="J258" s="37">
        <v>255</v>
      </c>
      <c r="K258" s="38" t="b">
        <f t="shared" si="6"/>
        <v>0</v>
      </c>
      <c r="L258" s="40" t="str">
        <f t="shared" si="7"/>
        <v/>
      </c>
    </row>
    <row r="259" spans="10:12" x14ac:dyDescent="0.2">
      <c r="J259" s="37">
        <v>256</v>
      </c>
      <c r="K259" s="38" t="b">
        <f t="shared" si="6"/>
        <v>0</v>
      </c>
      <c r="L259" s="40" t="str">
        <f t="shared" si="7"/>
        <v/>
      </c>
    </row>
    <row r="260" spans="10:12" x14ac:dyDescent="0.2">
      <c r="J260" s="37">
        <v>257</v>
      </c>
      <c r="K260" s="38" t="b">
        <f t="shared" si="6"/>
        <v>0</v>
      </c>
      <c r="L260" s="40" t="str">
        <f t="shared" si="7"/>
        <v/>
      </c>
    </row>
    <row r="261" spans="10:12" x14ac:dyDescent="0.2">
      <c r="J261" s="37">
        <v>258</v>
      </c>
      <c r="K261" s="38" t="b">
        <f t="shared" ref="K261:K324" si="8">IF(($J$4:$J$363)&lt;=$H$1,(EOMONTH(K260,0)+$B$6))</f>
        <v>0</v>
      </c>
      <c r="L261" s="40" t="str">
        <f t="shared" si="7"/>
        <v/>
      </c>
    </row>
    <row r="262" spans="10:12" x14ac:dyDescent="0.2">
      <c r="J262" s="37">
        <v>259</v>
      </c>
      <c r="K262" s="38" t="b">
        <f t="shared" si="8"/>
        <v>0</v>
      </c>
      <c r="L262" s="40" t="str">
        <f t="shared" si="7"/>
        <v/>
      </c>
    </row>
    <row r="263" spans="10:12" x14ac:dyDescent="0.2">
      <c r="J263" s="37">
        <v>260</v>
      </c>
      <c r="K263" s="38" t="b">
        <f t="shared" si="8"/>
        <v>0</v>
      </c>
      <c r="L263" s="40" t="str">
        <f t="shared" ref="L263:L326" si="9">IF($J$4:$J$363 &lt;= $H$1,$H$2,"")</f>
        <v/>
      </c>
    </row>
    <row r="264" spans="10:12" x14ac:dyDescent="0.2">
      <c r="J264" s="37">
        <v>261</v>
      </c>
      <c r="K264" s="38" t="b">
        <f t="shared" si="8"/>
        <v>0</v>
      </c>
      <c r="L264" s="40" t="str">
        <f t="shared" si="9"/>
        <v/>
      </c>
    </row>
    <row r="265" spans="10:12" x14ac:dyDescent="0.2">
      <c r="J265" s="37">
        <v>262</v>
      </c>
      <c r="K265" s="38" t="b">
        <f t="shared" si="8"/>
        <v>0</v>
      </c>
      <c r="L265" s="40" t="str">
        <f t="shared" si="9"/>
        <v/>
      </c>
    </row>
    <row r="266" spans="10:12" x14ac:dyDescent="0.2">
      <c r="J266" s="37">
        <v>263</v>
      </c>
      <c r="K266" s="38" t="b">
        <f t="shared" si="8"/>
        <v>0</v>
      </c>
      <c r="L266" s="40" t="str">
        <f t="shared" si="9"/>
        <v/>
      </c>
    </row>
    <row r="267" spans="10:12" x14ac:dyDescent="0.2">
      <c r="J267" s="37">
        <v>264</v>
      </c>
      <c r="K267" s="38" t="b">
        <f t="shared" si="8"/>
        <v>0</v>
      </c>
      <c r="L267" s="40" t="str">
        <f t="shared" si="9"/>
        <v/>
      </c>
    </row>
    <row r="268" spans="10:12" x14ac:dyDescent="0.2">
      <c r="J268" s="37">
        <v>265</v>
      </c>
      <c r="K268" s="38" t="b">
        <f t="shared" si="8"/>
        <v>0</v>
      </c>
      <c r="L268" s="40" t="str">
        <f t="shared" si="9"/>
        <v/>
      </c>
    </row>
    <row r="269" spans="10:12" x14ac:dyDescent="0.2">
      <c r="J269" s="37">
        <v>266</v>
      </c>
      <c r="K269" s="38" t="b">
        <f t="shared" si="8"/>
        <v>0</v>
      </c>
      <c r="L269" s="40" t="str">
        <f t="shared" si="9"/>
        <v/>
      </c>
    </row>
    <row r="270" spans="10:12" x14ac:dyDescent="0.2">
      <c r="J270" s="37">
        <v>267</v>
      </c>
      <c r="K270" s="38" t="b">
        <f t="shared" si="8"/>
        <v>0</v>
      </c>
      <c r="L270" s="40" t="str">
        <f t="shared" si="9"/>
        <v/>
      </c>
    </row>
    <row r="271" spans="10:12" x14ac:dyDescent="0.2">
      <c r="J271" s="37">
        <v>268</v>
      </c>
      <c r="K271" s="38" t="b">
        <f t="shared" si="8"/>
        <v>0</v>
      </c>
      <c r="L271" s="40" t="str">
        <f t="shared" si="9"/>
        <v/>
      </c>
    </row>
    <row r="272" spans="10:12" x14ac:dyDescent="0.2">
      <c r="J272" s="37">
        <v>269</v>
      </c>
      <c r="K272" s="38" t="b">
        <f t="shared" si="8"/>
        <v>0</v>
      </c>
      <c r="L272" s="40" t="str">
        <f t="shared" si="9"/>
        <v/>
      </c>
    </row>
    <row r="273" spans="10:12" x14ac:dyDescent="0.2">
      <c r="J273" s="37">
        <v>270</v>
      </c>
      <c r="K273" s="38" t="b">
        <f t="shared" si="8"/>
        <v>0</v>
      </c>
      <c r="L273" s="40" t="str">
        <f t="shared" si="9"/>
        <v/>
      </c>
    </row>
    <row r="274" spans="10:12" x14ac:dyDescent="0.2">
      <c r="J274" s="37">
        <v>271</v>
      </c>
      <c r="K274" s="38" t="b">
        <f t="shared" si="8"/>
        <v>0</v>
      </c>
      <c r="L274" s="40" t="str">
        <f t="shared" si="9"/>
        <v/>
      </c>
    </row>
    <row r="275" spans="10:12" x14ac:dyDescent="0.2">
      <c r="J275" s="37">
        <v>272</v>
      </c>
      <c r="K275" s="38" t="b">
        <f t="shared" si="8"/>
        <v>0</v>
      </c>
      <c r="L275" s="40" t="str">
        <f t="shared" si="9"/>
        <v/>
      </c>
    </row>
    <row r="276" spans="10:12" x14ac:dyDescent="0.2">
      <c r="J276" s="37">
        <v>273</v>
      </c>
      <c r="K276" s="38" t="b">
        <f t="shared" si="8"/>
        <v>0</v>
      </c>
      <c r="L276" s="40" t="str">
        <f t="shared" si="9"/>
        <v/>
      </c>
    </row>
    <row r="277" spans="10:12" x14ac:dyDescent="0.2">
      <c r="J277" s="37">
        <v>274</v>
      </c>
      <c r="K277" s="38" t="b">
        <f t="shared" si="8"/>
        <v>0</v>
      </c>
      <c r="L277" s="40" t="str">
        <f t="shared" si="9"/>
        <v/>
      </c>
    </row>
    <row r="278" spans="10:12" x14ac:dyDescent="0.2">
      <c r="J278" s="37">
        <v>275</v>
      </c>
      <c r="K278" s="38" t="b">
        <f t="shared" si="8"/>
        <v>0</v>
      </c>
      <c r="L278" s="40" t="str">
        <f t="shared" si="9"/>
        <v/>
      </c>
    </row>
    <row r="279" spans="10:12" x14ac:dyDescent="0.2">
      <c r="J279" s="37">
        <v>276</v>
      </c>
      <c r="K279" s="38" t="b">
        <f t="shared" si="8"/>
        <v>0</v>
      </c>
      <c r="L279" s="40" t="str">
        <f t="shared" si="9"/>
        <v/>
      </c>
    </row>
    <row r="280" spans="10:12" x14ac:dyDescent="0.2">
      <c r="J280" s="37">
        <v>277</v>
      </c>
      <c r="K280" s="38" t="b">
        <f t="shared" si="8"/>
        <v>0</v>
      </c>
      <c r="L280" s="40" t="str">
        <f t="shared" si="9"/>
        <v/>
      </c>
    </row>
    <row r="281" spans="10:12" x14ac:dyDescent="0.2">
      <c r="J281" s="37">
        <v>278</v>
      </c>
      <c r="K281" s="38" t="b">
        <f t="shared" si="8"/>
        <v>0</v>
      </c>
      <c r="L281" s="40" t="str">
        <f t="shared" si="9"/>
        <v/>
      </c>
    </row>
    <row r="282" spans="10:12" x14ac:dyDescent="0.2">
      <c r="J282" s="37">
        <v>279</v>
      </c>
      <c r="K282" s="38" t="b">
        <f t="shared" si="8"/>
        <v>0</v>
      </c>
      <c r="L282" s="40" t="str">
        <f t="shared" si="9"/>
        <v/>
      </c>
    </row>
    <row r="283" spans="10:12" x14ac:dyDescent="0.2">
      <c r="J283" s="37">
        <v>280</v>
      </c>
      <c r="K283" s="38" t="b">
        <f t="shared" si="8"/>
        <v>0</v>
      </c>
      <c r="L283" s="40" t="str">
        <f t="shared" si="9"/>
        <v/>
      </c>
    </row>
    <row r="284" spans="10:12" x14ac:dyDescent="0.2">
      <c r="J284" s="37">
        <v>281</v>
      </c>
      <c r="K284" s="38" t="b">
        <f t="shared" si="8"/>
        <v>0</v>
      </c>
      <c r="L284" s="40" t="str">
        <f t="shared" si="9"/>
        <v/>
      </c>
    </row>
    <row r="285" spans="10:12" x14ac:dyDescent="0.2">
      <c r="J285" s="37">
        <v>282</v>
      </c>
      <c r="K285" s="38" t="b">
        <f t="shared" si="8"/>
        <v>0</v>
      </c>
      <c r="L285" s="40" t="str">
        <f t="shared" si="9"/>
        <v/>
      </c>
    </row>
    <row r="286" spans="10:12" x14ac:dyDescent="0.2">
      <c r="J286" s="37">
        <v>283</v>
      </c>
      <c r="K286" s="38" t="b">
        <f t="shared" si="8"/>
        <v>0</v>
      </c>
      <c r="L286" s="40" t="str">
        <f t="shared" si="9"/>
        <v/>
      </c>
    </row>
    <row r="287" spans="10:12" x14ac:dyDescent="0.2">
      <c r="J287" s="37">
        <v>284</v>
      </c>
      <c r="K287" s="38" t="b">
        <f t="shared" si="8"/>
        <v>0</v>
      </c>
      <c r="L287" s="40" t="str">
        <f t="shared" si="9"/>
        <v/>
      </c>
    </row>
    <row r="288" spans="10:12" x14ac:dyDescent="0.2">
      <c r="J288" s="37">
        <v>285</v>
      </c>
      <c r="K288" s="38" t="b">
        <f t="shared" si="8"/>
        <v>0</v>
      </c>
      <c r="L288" s="40" t="str">
        <f t="shared" si="9"/>
        <v/>
      </c>
    </row>
    <row r="289" spans="10:12" x14ac:dyDescent="0.2">
      <c r="J289" s="37">
        <v>286</v>
      </c>
      <c r="K289" s="38" t="b">
        <f t="shared" si="8"/>
        <v>0</v>
      </c>
      <c r="L289" s="40" t="str">
        <f t="shared" si="9"/>
        <v/>
      </c>
    </row>
    <row r="290" spans="10:12" x14ac:dyDescent="0.2">
      <c r="J290" s="37">
        <v>287</v>
      </c>
      <c r="K290" s="38" t="b">
        <f t="shared" si="8"/>
        <v>0</v>
      </c>
      <c r="L290" s="40" t="str">
        <f t="shared" si="9"/>
        <v/>
      </c>
    </row>
    <row r="291" spans="10:12" x14ac:dyDescent="0.2">
      <c r="J291" s="37">
        <v>288</v>
      </c>
      <c r="K291" s="38" t="b">
        <f t="shared" si="8"/>
        <v>0</v>
      </c>
      <c r="L291" s="40" t="str">
        <f t="shared" si="9"/>
        <v/>
      </c>
    </row>
    <row r="292" spans="10:12" x14ac:dyDescent="0.2">
      <c r="J292" s="37">
        <v>289</v>
      </c>
      <c r="K292" s="38" t="b">
        <f t="shared" si="8"/>
        <v>0</v>
      </c>
      <c r="L292" s="40" t="str">
        <f t="shared" si="9"/>
        <v/>
      </c>
    </row>
    <row r="293" spans="10:12" x14ac:dyDescent="0.2">
      <c r="J293" s="37">
        <v>290</v>
      </c>
      <c r="K293" s="38" t="b">
        <f t="shared" si="8"/>
        <v>0</v>
      </c>
      <c r="L293" s="40" t="str">
        <f t="shared" si="9"/>
        <v/>
      </c>
    </row>
    <row r="294" spans="10:12" x14ac:dyDescent="0.2">
      <c r="J294" s="37">
        <v>291</v>
      </c>
      <c r="K294" s="38" t="b">
        <f t="shared" si="8"/>
        <v>0</v>
      </c>
      <c r="L294" s="40" t="str">
        <f t="shared" si="9"/>
        <v/>
      </c>
    </row>
    <row r="295" spans="10:12" x14ac:dyDescent="0.2">
      <c r="J295" s="37">
        <v>292</v>
      </c>
      <c r="K295" s="38" t="b">
        <f t="shared" si="8"/>
        <v>0</v>
      </c>
      <c r="L295" s="40" t="str">
        <f t="shared" si="9"/>
        <v/>
      </c>
    </row>
    <row r="296" spans="10:12" x14ac:dyDescent="0.2">
      <c r="J296" s="37">
        <v>293</v>
      </c>
      <c r="K296" s="38" t="b">
        <f t="shared" si="8"/>
        <v>0</v>
      </c>
      <c r="L296" s="40" t="str">
        <f t="shared" si="9"/>
        <v/>
      </c>
    </row>
    <row r="297" spans="10:12" x14ac:dyDescent="0.2">
      <c r="J297" s="37">
        <v>294</v>
      </c>
      <c r="K297" s="38" t="b">
        <f t="shared" si="8"/>
        <v>0</v>
      </c>
      <c r="L297" s="40" t="str">
        <f t="shared" si="9"/>
        <v/>
      </c>
    </row>
    <row r="298" spans="10:12" x14ac:dyDescent="0.2">
      <c r="J298" s="37">
        <v>295</v>
      </c>
      <c r="K298" s="38" t="b">
        <f t="shared" si="8"/>
        <v>0</v>
      </c>
      <c r="L298" s="40" t="str">
        <f t="shared" si="9"/>
        <v/>
      </c>
    </row>
    <row r="299" spans="10:12" x14ac:dyDescent="0.2">
      <c r="J299" s="37">
        <v>296</v>
      </c>
      <c r="K299" s="38" t="b">
        <f t="shared" si="8"/>
        <v>0</v>
      </c>
      <c r="L299" s="40" t="str">
        <f t="shared" si="9"/>
        <v/>
      </c>
    </row>
    <row r="300" spans="10:12" x14ac:dyDescent="0.2">
      <c r="J300" s="37">
        <v>297</v>
      </c>
      <c r="K300" s="38" t="b">
        <f t="shared" si="8"/>
        <v>0</v>
      </c>
      <c r="L300" s="40" t="str">
        <f t="shared" si="9"/>
        <v/>
      </c>
    </row>
    <row r="301" spans="10:12" x14ac:dyDescent="0.2">
      <c r="J301" s="37">
        <v>298</v>
      </c>
      <c r="K301" s="38" t="b">
        <f t="shared" si="8"/>
        <v>0</v>
      </c>
      <c r="L301" s="40" t="str">
        <f t="shared" si="9"/>
        <v/>
      </c>
    </row>
    <row r="302" spans="10:12" x14ac:dyDescent="0.2">
      <c r="J302" s="37">
        <v>299</v>
      </c>
      <c r="K302" s="38" t="b">
        <f t="shared" si="8"/>
        <v>0</v>
      </c>
      <c r="L302" s="40" t="str">
        <f t="shared" si="9"/>
        <v/>
      </c>
    </row>
    <row r="303" spans="10:12" x14ac:dyDescent="0.2">
      <c r="J303" s="37">
        <v>300</v>
      </c>
      <c r="K303" s="38" t="b">
        <f t="shared" si="8"/>
        <v>0</v>
      </c>
      <c r="L303" s="40" t="str">
        <f t="shared" si="9"/>
        <v/>
      </c>
    </row>
    <row r="304" spans="10:12" x14ac:dyDescent="0.2">
      <c r="J304" s="37">
        <v>301</v>
      </c>
      <c r="K304" s="38" t="b">
        <f t="shared" si="8"/>
        <v>0</v>
      </c>
      <c r="L304" s="40" t="str">
        <f t="shared" si="9"/>
        <v/>
      </c>
    </row>
    <row r="305" spans="10:12" x14ac:dyDescent="0.2">
      <c r="J305" s="37">
        <v>302</v>
      </c>
      <c r="K305" s="38" t="b">
        <f t="shared" si="8"/>
        <v>0</v>
      </c>
      <c r="L305" s="40" t="str">
        <f t="shared" si="9"/>
        <v/>
      </c>
    </row>
    <row r="306" spans="10:12" x14ac:dyDescent="0.2">
      <c r="J306" s="37">
        <v>303</v>
      </c>
      <c r="K306" s="38" t="b">
        <f t="shared" si="8"/>
        <v>0</v>
      </c>
      <c r="L306" s="40" t="str">
        <f t="shared" si="9"/>
        <v/>
      </c>
    </row>
    <row r="307" spans="10:12" x14ac:dyDescent="0.2">
      <c r="J307" s="37">
        <v>304</v>
      </c>
      <c r="K307" s="38" t="b">
        <f t="shared" si="8"/>
        <v>0</v>
      </c>
      <c r="L307" s="40" t="str">
        <f t="shared" si="9"/>
        <v/>
      </c>
    </row>
    <row r="308" spans="10:12" x14ac:dyDescent="0.2">
      <c r="J308" s="37">
        <v>305</v>
      </c>
      <c r="K308" s="38" t="b">
        <f t="shared" si="8"/>
        <v>0</v>
      </c>
      <c r="L308" s="40" t="str">
        <f t="shared" si="9"/>
        <v/>
      </c>
    </row>
    <row r="309" spans="10:12" x14ac:dyDescent="0.2">
      <c r="J309" s="37">
        <v>306</v>
      </c>
      <c r="K309" s="38" t="b">
        <f t="shared" si="8"/>
        <v>0</v>
      </c>
      <c r="L309" s="40" t="str">
        <f t="shared" si="9"/>
        <v/>
      </c>
    </row>
    <row r="310" spans="10:12" x14ac:dyDescent="0.2">
      <c r="J310" s="37">
        <v>307</v>
      </c>
      <c r="K310" s="38" t="b">
        <f t="shared" si="8"/>
        <v>0</v>
      </c>
      <c r="L310" s="40" t="str">
        <f t="shared" si="9"/>
        <v/>
      </c>
    </row>
    <row r="311" spans="10:12" x14ac:dyDescent="0.2">
      <c r="J311" s="37">
        <v>308</v>
      </c>
      <c r="K311" s="38" t="b">
        <f t="shared" si="8"/>
        <v>0</v>
      </c>
      <c r="L311" s="40" t="str">
        <f t="shared" si="9"/>
        <v/>
      </c>
    </row>
    <row r="312" spans="10:12" x14ac:dyDescent="0.2">
      <c r="J312" s="37">
        <v>309</v>
      </c>
      <c r="K312" s="38" t="b">
        <f t="shared" si="8"/>
        <v>0</v>
      </c>
      <c r="L312" s="40" t="str">
        <f t="shared" si="9"/>
        <v/>
      </c>
    </row>
    <row r="313" spans="10:12" x14ac:dyDescent="0.2">
      <c r="J313" s="37">
        <v>310</v>
      </c>
      <c r="K313" s="38" t="b">
        <f t="shared" si="8"/>
        <v>0</v>
      </c>
      <c r="L313" s="40" t="str">
        <f t="shared" si="9"/>
        <v/>
      </c>
    </row>
    <row r="314" spans="10:12" x14ac:dyDescent="0.2">
      <c r="J314" s="37">
        <v>311</v>
      </c>
      <c r="K314" s="38" t="b">
        <f t="shared" si="8"/>
        <v>0</v>
      </c>
      <c r="L314" s="40" t="str">
        <f t="shared" si="9"/>
        <v/>
      </c>
    </row>
    <row r="315" spans="10:12" x14ac:dyDescent="0.2">
      <c r="J315" s="37">
        <v>312</v>
      </c>
      <c r="K315" s="38" t="b">
        <f t="shared" si="8"/>
        <v>0</v>
      </c>
      <c r="L315" s="40" t="str">
        <f t="shared" si="9"/>
        <v/>
      </c>
    </row>
    <row r="316" spans="10:12" x14ac:dyDescent="0.2">
      <c r="J316" s="37">
        <v>313</v>
      </c>
      <c r="K316" s="38" t="b">
        <f t="shared" si="8"/>
        <v>0</v>
      </c>
      <c r="L316" s="40" t="str">
        <f t="shared" si="9"/>
        <v/>
      </c>
    </row>
    <row r="317" spans="10:12" x14ac:dyDescent="0.2">
      <c r="J317" s="37">
        <v>314</v>
      </c>
      <c r="K317" s="38" t="b">
        <f t="shared" si="8"/>
        <v>0</v>
      </c>
      <c r="L317" s="40" t="str">
        <f t="shared" si="9"/>
        <v/>
      </c>
    </row>
    <row r="318" spans="10:12" x14ac:dyDescent="0.2">
      <c r="J318" s="37">
        <v>315</v>
      </c>
      <c r="K318" s="38" t="b">
        <f t="shared" si="8"/>
        <v>0</v>
      </c>
      <c r="L318" s="40" t="str">
        <f t="shared" si="9"/>
        <v/>
      </c>
    </row>
    <row r="319" spans="10:12" x14ac:dyDescent="0.2">
      <c r="J319" s="37">
        <v>316</v>
      </c>
      <c r="K319" s="38" t="b">
        <f t="shared" si="8"/>
        <v>0</v>
      </c>
      <c r="L319" s="40" t="str">
        <f t="shared" si="9"/>
        <v/>
      </c>
    </row>
    <row r="320" spans="10:12" x14ac:dyDescent="0.2">
      <c r="J320" s="37">
        <v>317</v>
      </c>
      <c r="K320" s="38" t="b">
        <f t="shared" si="8"/>
        <v>0</v>
      </c>
      <c r="L320" s="40" t="str">
        <f t="shared" si="9"/>
        <v/>
      </c>
    </row>
    <row r="321" spans="10:12" x14ac:dyDescent="0.2">
      <c r="J321" s="37">
        <v>318</v>
      </c>
      <c r="K321" s="38" t="b">
        <f t="shared" si="8"/>
        <v>0</v>
      </c>
      <c r="L321" s="40" t="str">
        <f t="shared" si="9"/>
        <v/>
      </c>
    </row>
    <row r="322" spans="10:12" x14ac:dyDescent="0.2">
      <c r="J322" s="37">
        <v>319</v>
      </c>
      <c r="K322" s="38" t="b">
        <f t="shared" si="8"/>
        <v>0</v>
      </c>
      <c r="L322" s="40" t="str">
        <f t="shared" si="9"/>
        <v/>
      </c>
    </row>
    <row r="323" spans="10:12" x14ac:dyDescent="0.2">
      <c r="J323" s="37">
        <v>320</v>
      </c>
      <c r="K323" s="38" t="b">
        <f t="shared" si="8"/>
        <v>0</v>
      </c>
      <c r="L323" s="40" t="str">
        <f t="shared" si="9"/>
        <v/>
      </c>
    </row>
    <row r="324" spans="10:12" x14ac:dyDescent="0.2">
      <c r="J324" s="37">
        <v>321</v>
      </c>
      <c r="K324" s="38" t="b">
        <f t="shared" si="8"/>
        <v>0</v>
      </c>
      <c r="L324" s="40" t="str">
        <f t="shared" si="9"/>
        <v/>
      </c>
    </row>
    <row r="325" spans="10:12" x14ac:dyDescent="0.2">
      <c r="J325" s="37">
        <v>322</v>
      </c>
      <c r="K325" s="38" t="b">
        <f t="shared" ref="K325:K363" si="10">IF(($J$4:$J$363)&lt;=$H$1,(EOMONTH(K324,0)+$B$6))</f>
        <v>0</v>
      </c>
      <c r="L325" s="40" t="str">
        <f t="shared" si="9"/>
        <v/>
      </c>
    </row>
    <row r="326" spans="10:12" x14ac:dyDescent="0.2">
      <c r="J326" s="37">
        <v>323</v>
      </c>
      <c r="K326" s="38" t="b">
        <f t="shared" si="10"/>
        <v>0</v>
      </c>
      <c r="L326" s="40" t="str">
        <f t="shared" si="9"/>
        <v/>
      </c>
    </row>
    <row r="327" spans="10:12" x14ac:dyDescent="0.2">
      <c r="J327" s="37">
        <v>324</v>
      </c>
      <c r="K327" s="38" t="b">
        <f t="shared" si="10"/>
        <v>0</v>
      </c>
      <c r="L327" s="40" t="str">
        <f t="shared" ref="L327:L363" si="11">IF($J$4:$J$363 &lt;= $H$1,$H$2,"")</f>
        <v/>
      </c>
    </row>
    <row r="328" spans="10:12" x14ac:dyDescent="0.2">
      <c r="J328" s="37">
        <v>325</v>
      </c>
      <c r="K328" s="38" t="b">
        <f t="shared" si="10"/>
        <v>0</v>
      </c>
      <c r="L328" s="40" t="str">
        <f t="shared" si="11"/>
        <v/>
      </c>
    </row>
    <row r="329" spans="10:12" x14ac:dyDescent="0.2">
      <c r="J329" s="37">
        <v>326</v>
      </c>
      <c r="K329" s="38" t="b">
        <f t="shared" si="10"/>
        <v>0</v>
      </c>
      <c r="L329" s="40" t="str">
        <f t="shared" si="11"/>
        <v/>
      </c>
    </row>
    <row r="330" spans="10:12" x14ac:dyDescent="0.2">
      <c r="J330" s="37">
        <v>327</v>
      </c>
      <c r="K330" s="38" t="b">
        <f t="shared" si="10"/>
        <v>0</v>
      </c>
      <c r="L330" s="40" t="str">
        <f t="shared" si="11"/>
        <v/>
      </c>
    </row>
    <row r="331" spans="10:12" x14ac:dyDescent="0.2">
      <c r="J331" s="37">
        <v>328</v>
      </c>
      <c r="K331" s="38" t="b">
        <f t="shared" si="10"/>
        <v>0</v>
      </c>
      <c r="L331" s="40" t="str">
        <f t="shared" si="11"/>
        <v/>
      </c>
    </row>
    <row r="332" spans="10:12" x14ac:dyDescent="0.2">
      <c r="J332" s="37">
        <v>329</v>
      </c>
      <c r="K332" s="38" t="b">
        <f t="shared" si="10"/>
        <v>0</v>
      </c>
      <c r="L332" s="40" t="str">
        <f t="shared" si="11"/>
        <v/>
      </c>
    </row>
    <row r="333" spans="10:12" x14ac:dyDescent="0.2">
      <c r="J333" s="37">
        <v>330</v>
      </c>
      <c r="K333" s="38" t="b">
        <f t="shared" si="10"/>
        <v>0</v>
      </c>
      <c r="L333" s="40" t="str">
        <f t="shared" si="11"/>
        <v/>
      </c>
    </row>
    <row r="334" spans="10:12" x14ac:dyDescent="0.2">
      <c r="J334" s="37">
        <v>331</v>
      </c>
      <c r="K334" s="38" t="b">
        <f t="shared" si="10"/>
        <v>0</v>
      </c>
      <c r="L334" s="40" t="str">
        <f t="shared" si="11"/>
        <v/>
      </c>
    </row>
    <row r="335" spans="10:12" x14ac:dyDescent="0.2">
      <c r="J335" s="37">
        <v>332</v>
      </c>
      <c r="K335" s="38" t="b">
        <f t="shared" si="10"/>
        <v>0</v>
      </c>
      <c r="L335" s="40" t="str">
        <f t="shared" si="11"/>
        <v/>
      </c>
    </row>
    <row r="336" spans="10:12" x14ac:dyDescent="0.2">
      <c r="J336" s="37">
        <v>333</v>
      </c>
      <c r="K336" s="38" t="b">
        <f t="shared" si="10"/>
        <v>0</v>
      </c>
      <c r="L336" s="40" t="str">
        <f t="shared" si="11"/>
        <v/>
      </c>
    </row>
    <row r="337" spans="10:12" x14ac:dyDescent="0.2">
      <c r="J337" s="37">
        <v>334</v>
      </c>
      <c r="K337" s="38" t="b">
        <f t="shared" si="10"/>
        <v>0</v>
      </c>
      <c r="L337" s="40" t="str">
        <f t="shared" si="11"/>
        <v/>
      </c>
    </row>
    <row r="338" spans="10:12" x14ac:dyDescent="0.2">
      <c r="J338" s="37">
        <v>335</v>
      </c>
      <c r="K338" s="38" t="b">
        <f t="shared" si="10"/>
        <v>0</v>
      </c>
      <c r="L338" s="40" t="str">
        <f t="shared" si="11"/>
        <v/>
      </c>
    </row>
    <row r="339" spans="10:12" x14ac:dyDescent="0.2">
      <c r="J339" s="37">
        <v>336</v>
      </c>
      <c r="K339" s="38" t="b">
        <f t="shared" si="10"/>
        <v>0</v>
      </c>
      <c r="L339" s="40" t="str">
        <f t="shared" si="11"/>
        <v/>
      </c>
    </row>
    <row r="340" spans="10:12" x14ac:dyDescent="0.2">
      <c r="J340" s="37">
        <v>337</v>
      </c>
      <c r="K340" s="38" t="b">
        <f t="shared" si="10"/>
        <v>0</v>
      </c>
      <c r="L340" s="40" t="str">
        <f t="shared" si="11"/>
        <v/>
      </c>
    </row>
    <row r="341" spans="10:12" x14ac:dyDescent="0.2">
      <c r="J341" s="37">
        <v>338</v>
      </c>
      <c r="K341" s="38" t="b">
        <f t="shared" si="10"/>
        <v>0</v>
      </c>
      <c r="L341" s="40" t="str">
        <f t="shared" si="11"/>
        <v/>
      </c>
    </row>
    <row r="342" spans="10:12" x14ac:dyDescent="0.2">
      <c r="J342" s="37">
        <v>339</v>
      </c>
      <c r="K342" s="38" t="b">
        <f t="shared" si="10"/>
        <v>0</v>
      </c>
      <c r="L342" s="40" t="str">
        <f t="shared" si="11"/>
        <v/>
      </c>
    </row>
    <row r="343" spans="10:12" x14ac:dyDescent="0.2">
      <c r="J343" s="37">
        <v>340</v>
      </c>
      <c r="K343" s="38" t="b">
        <f t="shared" si="10"/>
        <v>0</v>
      </c>
      <c r="L343" s="40" t="str">
        <f t="shared" si="11"/>
        <v/>
      </c>
    </row>
    <row r="344" spans="10:12" x14ac:dyDescent="0.2">
      <c r="J344" s="37">
        <v>341</v>
      </c>
      <c r="K344" s="38" t="b">
        <f t="shared" si="10"/>
        <v>0</v>
      </c>
      <c r="L344" s="40" t="str">
        <f t="shared" si="11"/>
        <v/>
      </c>
    </row>
    <row r="345" spans="10:12" x14ac:dyDescent="0.2">
      <c r="J345" s="37">
        <v>342</v>
      </c>
      <c r="K345" s="38" t="b">
        <f t="shared" si="10"/>
        <v>0</v>
      </c>
      <c r="L345" s="40" t="str">
        <f t="shared" si="11"/>
        <v/>
      </c>
    </row>
    <row r="346" spans="10:12" x14ac:dyDescent="0.2">
      <c r="J346" s="37">
        <v>343</v>
      </c>
      <c r="K346" s="38" t="b">
        <f t="shared" si="10"/>
        <v>0</v>
      </c>
      <c r="L346" s="40" t="str">
        <f t="shared" si="11"/>
        <v/>
      </c>
    </row>
    <row r="347" spans="10:12" x14ac:dyDescent="0.2">
      <c r="J347" s="37">
        <v>344</v>
      </c>
      <c r="K347" s="38" t="b">
        <f t="shared" si="10"/>
        <v>0</v>
      </c>
      <c r="L347" s="40" t="str">
        <f t="shared" si="11"/>
        <v/>
      </c>
    </row>
    <row r="348" spans="10:12" x14ac:dyDescent="0.2">
      <c r="J348" s="37">
        <v>345</v>
      </c>
      <c r="K348" s="38" t="b">
        <f t="shared" si="10"/>
        <v>0</v>
      </c>
      <c r="L348" s="40" t="str">
        <f t="shared" si="11"/>
        <v/>
      </c>
    </row>
    <row r="349" spans="10:12" x14ac:dyDescent="0.2">
      <c r="J349" s="37">
        <v>346</v>
      </c>
      <c r="K349" s="38" t="b">
        <f t="shared" si="10"/>
        <v>0</v>
      </c>
      <c r="L349" s="40" t="str">
        <f t="shared" si="11"/>
        <v/>
      </c>
    </row>
    <row r="350" spans="10:12" x14ac:dyDescent="0.2">
      <c r="J350" s="37">
        <v>347</v>
      </c>
      <c r="K350" s="38" t="b">
        <f t="shared" si="10"/>
        <v>0</v>
      </c>
      <c r="L350" s="40" t="str">
        <f t="shared" si="11"/>
        <v/>
      </c>
    </row>
    <row r="351" spans="10:12" x14ac:dyDescent="0.2">
      <c r="J351" s="37">
        <v>348</v>
      </c>
      <c r="K351" s="38" t="b">
        <f t="shared" si="10"/>
        <v>0</v>
      </c>
      <c r="L351" s="40" t="str">
        <f t="shared" si="11"/>
        <v/>
      </c>
    </row>
    <row r="352" spans="10:12" x14ac:dyDescent="0.2">
      <c r="J352" s="37">
        <v>349</v>
      </c>
      <c r="K352" s="38" t="b">
        <f t="shared" si="10"/>
        <v>0</v>
      </c>
      <c r="L352" s="40" t="str">
        <f t="shared" si="11"/>
        <v/>
      </c>
    </row>
    <row r="353" spans="10:12" x14ac:dyDescent="0.2">
      <c r="J353" s="37">
        <v>350</v>
      </c>
      <c r="K353" s="38" t="b">
        <f t="shared" si="10"/>
        <v>0</v>
      </c>
      <c r="L353" s="40" t="str">
        <f t="shared" si="11"/>
        <v/>
      </c>
    </row>
    <row r="354" spans="10:12" x14ac:dyDescent="0.2">
      <c r="J354" s="37">
        <v>351</v>
      </c>
      <c r="K354" s="38" t="b">
        <f t="shared" si="10"/>
        <v>0</v>
      </c>
      <c r="L354" s="40" t="str">
        <f t="shared" si="11"/>
        <v/>
      </c>
    </row>
    <row r="355" spans="10:12" x14ac:dyDescent="0.2">
      <c r="J355" s="37">
        <v>352</v>
      </c>
      <c r="K355" s="38" t="b">
        <f t="shared" si="10"/>
        <v>0</v>
      </c>
      <c r="L355" s="40" t="str">
        <f t="shared" si="11"/>
        <v/>
      </c>
    </row>
    <row r="356" spans="10:12" x14ac:dyDescent="0.2">
      <c r="J356" s="37">
        <v>353</v>
      </c>
      <c r="K356" s="38" t="b">
        <f t="shared" si="10"/>
        <v>0</v>
      </c>
      <c r="L356" s="40" t="str">
        <f t="shared" si="11"/>
        <v/>
      </c>
    </row>
    <row r="357" spans="10:12" x14ac:dyDescent="0.2">
      <c r="J357" s="37">
        <v>354</v>
      </c>
      <c r="K357" s="38" t="b">
        <f t="shared" si="10"/>
        <v>0</v>
      </c>
      <c r="L357" s="40" t="str">
        <f t="shared" si="11"/>
        <v/>
      </c>
    </row>
    <row r="358" spans="10:12" x14ac:dyDescent="0.2">
      <c r="J358" s="37">
        <v>355</v>
      </c>
      <c r="K358" s="38" t="b">
        <f t="shared" si="10"/>
        <v>0</v>
      </c>
      <c r="L358" s="40" t="str">
        <f t="shared" si="11"/>
        <v/>
      </c>
    </row>
    <row r="359" spans="10:12" x14ac:dyDescent="0.2">
      <c r="J359" s="37">
        <v>356</v>
      </c>
      <c r="K359" s="38" t="b">
        <f t="shared" si="10"/>
        <v>0</v>
      </c>
      <c r="L359" s="40" t="str">
        <f t="shared" si="11"/>
        <v/>
      </c>
    </row>
    <row r="360" spans="10:12" x14ac:dyDescent="0.2">
      <c r="J360" s="37">
        <v>357</v>
      </c>
      <c r="K360" s="38" t="b">
        <f t="shared" si="10"/>
        <v>0</v>
      </c>
      <c r="L360" s="40" t="str">
        <f t="shared" si="11"/>
        <v/>
      </c>
    </row>
    <row r="361" spans="10:12" x14ac:dyDescent="0.2">
      <c r="J361" s="37">
        <v>358</v>
      </c>
      <c r="K361" s="38" t="b">
        <f t="shared" si="10"/>
        <v>0</v>
      </c>
      <c r="L361" s="40" t="str">
        <f t="shared" si="11"/>
        <v/>
      </c>
    </row>
    <row r="362" spans="10:12" x14ac:dyDescent="0.2">
      <c r="J362" s="37">
        <v>359</v>
      </c>
      <c r="K362" s="38" t="b">
        <f t="shared" si="10"/>
        <v>0</v>
      </c>
      <c r="L362" s="40" t="str">
        <f t="shared" si="11"/>
        <v/>
      </c>
    </row>
    <row r="363" spans="10:12" x14ac:dyDescent="0.2">
      <c r="J363" s="37">
        <v>360</v>
      </c>
      <c r="K363" s="38" t="b">
        <f t="shared" si="10"/>
        <v>0</v>
      </c>
      <c r="L363" s="40" t="str">
        <f t="shared" si="11"/>
        <v/>
      </c>
    </row>
  </sheetData>
  <conditionalFormatting sqref="J4:K363">
    <cfRule type="expression" dxfId="0" priority="1" stopIfTrue="1">
      <formula>$J4&gt;Plazo_Crédito</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BAD19-837B-44FD-A9D3-2CBCA492050D}">
  <dimension ref="A1:G33"/>
  <sheetViews>
    <sheetView workbookViewId="0">
      <selection activeCell="C4" sqref="C4:E4"/>
    </sheetView>
  </sheetViews>
  <sheetFormatPr baseColWidth="10" defaultRowHeight="15" x14ac:dyDescent="0.25"/>
  <cols>
    <col min="1" max="1" width="24.5703125" customWidth="1"/>
    <col min="2" max="2" width="21.7109375" customWidth="1"/>
    <col min="3" max="3" width="17.28515625" customWidth="1"/>
    <col min="4" max="4" width="28.85546875" customWidth="1"/>
    <col min="6" max="6" width="40.85546875" customWidth="1"/>
  </cols>
  <sheetData>
    <row r="1" spans="1:7" ht="30.75" thickBot="1" x14ac:dyDescent="0.3">
      <c r="A1" s="47" t="s">
        <v>119</v>
      </c>
      <c r="B1" s="48" t="s">
        <v>120</v>
      </c>
      <c r="C1" s="48" t="s">
        <v>121</v>
      </c>
      <c r="D1" s="48" t="s">
        <v>122</v>
      </c>
      <c r="E1" s="99">
        <f>VLOOKUP(Carátula!$N$13,'Notariales Estados'!A2:D33,3,0)</f>
        <v>2.1999999999999999E-2</v>
      </c>
      <c r="F1" s="143" t="s">
        <v>175</v>
      </c>
      <c r="G1" s="145">
        <f>VLOOKUP(Carátula!$N$13,'Notariales Estados'!F2:G33,2,0)</f>
        <v>12931.034482758621</v>
      </c>
    </row>
    <row r="2" spans="1:7" ht="15.75" thickBot="1" x14ac:dyDescent="0.3">
      <c r="A2" s="49" t="s">
        <v>21</v>
      </c>
      <c r="B2" s="50">
        <v>2.3E-2</v>
      </c>
      <c r="C2" s="51">
        <v>1.6E-2</v>
      </c>
      <c r="D2" s="51">
        <v>3.9E-2</v>
      </c>
      <c r="F2" s="141" t="s">
        <v>21</v>
      </c>
      <c r="G2" s="144">
        <v>7000</v>
      </c>
    </row>
    <row r="3" spans="1:7" ht="15.75" thickBot="1" x14ac:dyDescent="0.3">
      <c r="A3" s="52" t="s">
        <v>22</v>
      </c>
      <c r="B3" s="53">
        <v>0.05</v>
      </c>
      <c r="C3" s="53">
        <v>0.01</v>
      </c>
      <c r="D3" s="53">
        <v>0.06</v>
      </c>
      <c r="F3" s="142" t="s">
        <v>22</v>
      </c>
      <c r="G3" s="144">
        <v>5000</v>
      </c>
    </row>
    <row r="4" spans="1:7" ht="15.75" thickBot="1" x14ac:dyDescent="0.3">
      <c r="A4" s="52" t="s">
        <v>23</v>
      </c>
      <c r="B4" s="53">
        <v>3.5999999999999997E-2</v>
      </c>
      <c r="C4" s="53">
        <v>8.0000000000000002E-3</v>
      </c>
      <c r="D4" s="53">
        <v>4.3999999999999997E-2</v>
      </c>
      <c r="F4" s="142" t="s">
        <v>23</v>
      </c>
      <c r="G4" s="144">
        <v>5000</v>
      </c>
    </row>
    <row r="5" spans="1:7" ht="15.75" thickBot="1" x14ac:dyDescent="0.3">
      <c r="A5" s="52" t="s">
        <v>24</v>
      </c>
      <c r="B5" s="53">
        <v>1.8700000000000001E-2</v>
      </c>
      <c r="C5" s="53">
        <v>1.2E-2</v>
      </c>
      <c r="D5" s="53">
        <v>3.0700000000000002E-2</v>
      </c>
      <c r="F5" s="141" t="s">
        <v>24</v>
      </c>
      <c r="G5" s="144">
        <v>5000</v>
      </c>
    </row>
    <row r="6" spans="1:7" ht="15.75" thickBot="1" x14ac:dyDescent="0.3">
      <c r="A6" s="52" t="s">
        <v>25</v>
      </c>
      <c r="B6" s="53">
        <v>3.6499999999999998E-2</v>
      </c>
      <c r="C6" s="53">
        <v>6.7999999999999996E-3</v>
      </c>
      <c r="D6" s="53">
        <v>4.3299999999999998E-2</v>
      </c>
      <c r="F6" s="141" t="s">
        <v>25</v>
      </c>
      <c r="G6" s="144">
        <v>5000</v>
      </c>
    </row>
    <row r="7" spans="1:7" ht="15.75" thickBot="1" x14ac:dyDescent="0.3">
      <c r="A7" s="52" t="s">
        <v>26</v>
      </c>
      <c r="B7" s="53">
        <v>5.3999999999999999E-2</v>
      </c>
      <c r="C7" s="53">
        <v>1.6E-2</v>
      </c>
      <c r="D7" s="53">
        <v>7.0000000000000007E-2</v>
      </c>
      <c r="F7" s="141" t="s">
        <v>26</v>
      </c>
      <c r="G7" s="144">
        <v>5000</v>
      </c>
    </row>
    <row r="8" spans="1:7" ht="15.75" thickBot="1" x14ac:dyDescent="0.3">
      <c r="A8" s="49" t="s">
        <v>27</v>
      </c>
      <c r="B8" s="50">
        <v>0.06</v>
      </c>
      <c r="C8" s="50">
        <v>2.1999999999999999E-2</v>
      </c>
      <c r="D8" s="50">
        <v>8.2000000000000003E-2</v>
      </c>
      <c r="F8" s="141" t="s">
        <v>28</v>
      </c>
      <c r="G8" s="144">
        <v>5000</v>
      </c>
    </row>
    <row r="9" spans="1:7" ht="15.75" thickBot="1" x14ac:dyDescent="0.3">
      <c r="A9" s="52" t="s">
        <v>28</v>
      </c>
      <c r="B9" s="53">
        <v>5.1900000000000002E-2</v>
      </c>
      <c r="C9" s="53">
        <v>2.1000000000000001E-2</v>
      </c>
      <c r="D9" s="53">
        <v>7.2900000000000006E-2</v>
      </c>
      <c r="F9" s="141" t="s">
        <v>29</v>
      </c>
      <c r="G9" s="144">
        <v>4000.0000000000005</v>
      </c>
    </row>
    <row r="10" spans="1:7" ht="15.75" thickBot="1" x14ac:dyDescent="0.3">
      <c r="A10" s="49" t="s">
        <v>29</v>
      </c>
      <c r="B10" s="50">
        <v>2.86E-2</v>
      </c>
      <c r="C10" s="50">
        <v>1.21E-2</v>
      </c>
      <c r="D10" s="50">
        <v>4.07E-2</v>
      </c>
      <c r="F10" s="142" t="s">
        <v>27</v>
      </c>
      <c r="G10" s="144">
        <v>12931.034482758621</v>
      </c>
    </row>
    <row r="11" spans="1:7" ht="15.75" thickBot="1" x14ac:dyDescent="0.3">
      <c r="A11" s="52" t="s">
        <v>30</v>
      </c>
      <c r="B11" s="53">
        <v>0.05</v>
      </c>
      <c r="C11" s="53">
        <v>1.4E-2</v>
      </c>
      <c r="D11" s="53">
        <v>6.4000000000000001E-2</v>
      </c>
      <c r="F11" s="141" t="s">
        <v>30</v>
      </c>
      <c r="G11" s="144">
        <v>5000</v>
      </c>
    </row>
    <row r="12" spans="1:7" ht="15.75" thickBot="1" x14ac:dyDescent="0.3">
      <c r="A12" s="49" t="s">
        <v>31</v>
      </c>
      <c r="B12" s="50">
        <v>6.5000000000000002E-2</v>
      </c>
      <c r="C12" s="50">
        <v>2.1999999999999999E-2</v>
      </c>
      <c r="D12" s="50">
        <v>8.6999999999999994E-2</v>
      </c>
      <c r="F12" s="142" t="s">
        <v>31</v>
      </c>
      <c r="G12" s="144">
        <v>12931.034482758621</v>
      </c>
    </row>
    <row r="13" spans="1:7" ht="15.75" thickBot="1" x14ac:dyDescent="0.3">
      <c r="A13" s="49" t="s">
        <v>32</v>
      </c>
      <c r="B13" s="50">
        <v>0.02</v>
      </c>
      <c r="C13" s="50">
        <v>1.0999999999999999E-2</v>
      </c>
      <c r="D13" s="50">
        <f>IF(G5="SI",I13,3.1%)</f>
        <v>3.1E-2</v>
      </c>
      <c r="F13" s="141" t="s">
        <v>32</v>
      </c>
      <c r="G13" s="144">
        <v>5000</v>
      </c>
    </row>
    <row r="14" spans="1:7" ht="15.75" thickBot="1" x14ac:dyDescent="0.3">
      <c r="A14" s="52" t="s">
        <v>33</v>
      </c>
      <c r="B14" s="53">
        <v>0.05</v>
      </c>
      <c r="C14" s="53">
        <v>1.4999999999999999E-2</v>
      </c>
      <c r="D14" s="53">
        <v>6.5000000000000002E-2</v>
      </c>
      <c r="F14" s="141" t="s">
        <v>33</v>
      </c>
      <c r="G14" s="144">
        <v>5000</v>
      </c>
    </row>
    <row r="15" spans="1:7" ht="15.75" thickBot="1" x14ac:dyDescent="0.3">
      <c r="A15" s="52" t="s">
        <v>34</v>
      </c>
      <c r="B15" s="53">
        <v>0.05</v>
      </c>
      <c r="C15" s="53">
        <v>0.02</v>
      </c>
      <c r="D15" s="53">
        <v>7.0000000000000007E-2</v>
      </c>
      <c r="F15" s="141" t="s">
        <v>34</v>
      </c>
      <c r="G15" s="144">
        <v>5000</v>
      </c>
    </row>
    <row r="16" spans="1:7" ht="15.75" thickBot="1" x14ac:dyDescent="0.3">
      <c r="A16" s="52" t="s">
        <v>35</v>
      </c>
      <c r="B16" s="53">
        <v>4.4999999999999998E-2</v>
      </c>
      <c r="C16" s="53">
        <v>1.7999999999999999E-2</v>
      </c>
      <c r="D16" s="53">
        <v>6.3E-2</v>
      </c>
      <c r="F16" s="142" t="s">
        <v>35</v>
      </c>
      <c r="G16" s="144">
        <v>5000</v>
      </c>
    </row>
    <row r="17" spans="1:7" ht="15.75" thickBot="1" x14ac:dyDescent="0.3">
      <c r="A17" s="49" t="s">
        <v>36</v>
      </c>
      <c r="B17" s="50">
        <v>2.5999999999999999E-2</v>
      </c>
      <c r="C17" s="50">
        <v>1.4E-2</v>
      </c>
      <c r="D17" s="50">
        <v>0.04</v>
      </c>
      <c r="F17" s="141" t="s">
        <v>36</v>
      </c>
      <c r="G17" s="144">
        <v>5000</v>
      </c>
    </row>
    <row r="18" spans="1:7" ht="15.75" thickBot="1" x14ac:dyDescent="0.3">
      <c r="A18" s="49" t="s">
        <v>37</v>
      </c>
      <c r="B18" s="50">
        <v>4.4999999999999998E-2</v>
      </c>
      <c r="C18" s="50">
        <v>1.2E-2</v>
      </c>
      <c r="D18" s="50">
        <v>5.7000000000000002E-2</v>
      </c>
      <c r="F18" s="141" t="s">
        <v>37</v>
      </c>
      <c r="G18" s="144">
        <v>5000</v>
      </c>
    </row>
    <row r="19" spans="1:7" ht="15.75" thickBot="1" x14ac:dyDescent="0.3">
      <c r="A19" s="49" t="s">
        <v>38</v>
      </c>
      <c r="B19" s="50">
        <v>3.6999999999999998E-2</v>
      </c>
      <c r="C19" s="50">
        <v>1.0999999999999999E-2</v>
      </c>
      <c r="D19" s="50">
        <v>4.8000000000000001E-2</v>
      </c>
      <c r="F19" s="141" t="s">
        <v>38</v>
      </c>
      <c r="G19" s="144">
        <v>5000</v>
      </c>
    </row>
    <row r="20" spans="1:7" ht="15.75" thickBot="1" x14ac:dyDescent="0.3">
      <c r="A20" s="52" t="s">
        <v>39</v>
      </c>
      <c r="B20" s="53">
        <v>4.4499999999999998E-2</v>
      </c>
      <c r="C20" s="53">
        <v>1.55E-2</v>
      </c>
      <c r="D20" s="53">
        <v>0.06</v>
      </c>
      <c r="F20" s="141" t="s">
        <v>39</v>
      </c>
      <c r="G20" s="144">
        <v>5000</v>
      </c>
    </row>
    <row r="21" spans="1:7" ht="15.75" thickBot="1" x14ac:dyDescent="0.3">
      <c r="A21" s="52" t="s">
        <v>40</v>
      </c>
      <c r="B21" s="53">
        <v>3.4700000000000002E-2</v>
      </c>
      <c r="C21" s="53">
        <v>7.6E-3</v>
      </c>
      <c r="D21" s="53">
        <v>4.2200000000000001E-2</v>
      </c>
      <c r="F21" s="141" t="s">
        <v>40</v>
      </c>
      <c r="G21" s="144">
        <v>7000</v>
      </c>
    </row>
    <row r="22" spans="1:7" ht="15.75" thickBot="1" x14ac:dyDescent="0.3">
      <c r="A22" s="52" t="s">
        <v>41</v>
      </c>
      <c r="B22" s="53">
        <v>0.05</v>
      </c>
      <c r="C22" s="54">
        <v>0.04</v>
      </c>
      <c r="D22" s="54">
        <v>0.09</v>
      </c>
      <c r="F22" s="141" t="s">
        <v>41</v>
      </c>
      <c r="G22" s="144">
        <v>5000</v>
      </c>
    </row>
    <row r="23" spans="1:7" ht="15.75" thickBot="1" x14ac:dyDescent="0.3">
      <c r="A23" s="49" t="s">
        <v>42</v>
      </c>
      <c r="B23" s="50">
        <v>7.4999999999999997E-2</v>
      </c>
      <c r="C23" s="50">
        <v>1.2E-2</v>
      </c>
      <c r="D23" s="50">
        <v>8.6999999999999994E-2</v>
      </c>
      <c r="F23" s="141" t="s">
        <v>42</v>
      </c>
      <c r="G23" s="144">
        <v>5000</v>
      </c>
    </row>
    <row r="24" spans="1:7" ht="15.75" thickBot="1" x14ac:dyDescent="0.3">
      <c r="A24" s="52" t="s">
        <v>43</v>
      </c>
      <c r="B24" s="53">
        <v>0.05</v>
      </c>
      <c r="C24" s="53">
        <v>0.02</v>
      </c>
      <c r="D24" s="53">
        <v>7.0000000000000007E-2</v>
      </c>
      <c r="F24" s="141" t="s">
        <v>43</v>
      </c>
      <c r="G24" s="144">
        <v>5000</v>
      </c>
    </row>
    <row r="25" spans="1:7" ht="15.75" thickBot="1" x14ac:dyDescent="0.3">
      <c r="A25" s="52" t="s">
        <v>44</v>
      </c>
      <c r="B25" s="53">
        <v>5.0999999999999997E-2</v>
      </c>
      <c r="C25" s="53">
        <v>1.4E-2</v>
      </c>
      <c r="D25" s="53">
        <v>6.5000000000000002E-2</v>
      </c>
      <c r="F25" s="141" t="s">
        <v>44</v>
      </c>
      <c r="G25" s="144">
        <v>6465.5172413793107</v>
      </c>
    </row>
    <row r="26" spans="1:7" ht="15.75" thickBot="1" x14ac:dyDescent="0.3">
      <c r="A26" s="52" t="s">
        <v>45</v>
      </c>
      <c r="B26" s="53">
        <v>0.04</v>
      </c>
      <c r="C26" s="53">
        <v>1.0999999999999999E-2</v>
      </c>
      <c r="D26" s="53">
        <v>5.0999999999999997E-2</v>
      </c>
      <c r="F26" s="142" t="s">
        <v>45</v>
      </c>
      <c r="G26" s="144">
        <v>5000</v>
      </c>
    </row>
    <row r="27" spans="1:7" ht="15.75" thickBot="1" x14ac:dyDescent="0.3">
      <c r="A27" s="52" t="s">
        <v>46</v>
      </c>
      <c r="B27" s="53">
        <v>3.2000000000000001E-2</v>
      </c>
      <c r="C27" s="53">
        <v>1.2E-2</v>
      </c>
      <c r="D27" s="53">
        <v>4.3999999999999997E-2</v>
      </c>
      <c r="F27" s="141" t="s">
        <v>46</v>
      </c>
      <c r="G27" s="144">
        <v>7500.0000000000009</v>
      </c>
    </row>
    <row r="28" spans="1:7" ht="15.75" thickBot="1" x14ac:dyDescent="0.3">
      <c r="A28" s="52" t="s">
        <v>47</v>
      </c>
      <c r="B28" s="53">
        <v>5.2600000000000001E-2</v>
      </c>
      <c r="C28" s="53">
        <v>7.4000000000000003E-3</v>
      </c>
      <c r="D28" s="53">
        <v>0.06</v>
      </c>
      <c r="F28" s="141" t="s">
        <v>47</v>
      </c>
      <c r="G28" s="144">
        <v>5000</v>
      </c>
    </row>
    <row r="29" spans="1:7" ht="15.75" thickBot="1" x14ac:dyDescent="0.3">
      <c r="A29" s="52" t="s">
        <v>48</v>
      </c>
      <c r="B29" s="53">
        <v>0.04</v>
      </c>
      <c r="C29" s="54">
        <v>0.02</v>
      </c>
      <c r="D29" s="54">
        <f>B29+C29</f>
        <v>0.06</v>
      </c>
      <c r="F29" s="141" t="s">
        <v>48</v>
      </c>
      <c r="G29" s="144">
        <v>5000</v>
      </c>
    </row>
    <row r="30" spans="1:7" ht="15.75" thickBot="1" x14ac:dyDescent="0.3">
      <c r="A30" s="52" t="s">
        <v>49</v>
      </c>
      <c r="B30" s="53">
        <v>3.0499999999999999E-2</v>
      </c>
      <c r="C30" s="53">
        <v>1.01E-2</v>
      </c>
      <c r="D30" s="53">
        <v>4.0599999999999997E-2</v>
      </c>
      <c r="F30" s="141" t="s">
        <v>49</v>
      </c>
      <c r="G30" s="144">
        <v>5000</v>
      </c>
    </row>
    <row r="31" spans="1:7" ht="15.75" thickBot="1" x14ac:dyDescent="0.3">
      <c r="A31" s="52" t="s">
        <v>50</v>
      </c>
      <c r="B31" s="53">
        <v>2.4500000000000001E-2</v>
      </c>
      <c r="C31" s="53">
        <v>2.1000000000000001E-2</v>
      </c>
      <c r="D31" s="53">
        <v>4.5499999999999999E-2</v>
      </c>
      <c r="F31" s="141" t="s">
        <v>50</v>
      </c>
      <c r="G31" s="144">
        <v>7000</v>
      </c>
    </row>
    <row r="32" spans="1:7" ht="15.75" thickBot="1" x14ac:dyDescent="0.3">
      <c r="A32" s="52" t="s">
        <v>51</v>
      </c>
      <c r="B32" s="53">
        <v>3.9600000000000003E-2</v>
      </c>
      <c r="C32" s="53">
        <v>8.0999999999999996E-3</v>
      </c>
      <c r="D32" s="53">
        <v>4.7699999999999999E-2</v>
      </c>
      <c r="F32" s="141" t="s">
        <v>51</v>
      </c>
      <c r="G32" s="144">
        <v>5000</v>
      </c>
    </row>
    <row r="33" spans="1:7" ht="15.75" thickBot="1" x14ac:dyDescent="0.3">
      <c r="A33" s="52" t="s">
        <v>52</v>
      </c>
      <c r="B33" s="53">
        <v>3.5000000000000003E-2</v>
      </c>
      <c r="C33" s="53">
        <v>1.4999999999999999E-2</v>
      </c>
      <c r="D33" s="53">
        <v>0.05</v>
      </c>
      <c r="F33" s="141" t="s">
        <v>52</v>
      </c>
      <c r="G33" s="144">
        <v>5000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5353D-981D-48E2-A38D-DFF06381E71A}">
  <dimension ref="B1:R33"/>
  <sheetViews>
    <sheetView topLeftCell="F1" workbookViewId="0">
      <selection activeCell="J7" sqref="J7"/>
    </sheetView>
  </sheetViews>
  <sheetFormatPr baseColWidth="10" defaultRowHeight="15" x14ac:dyDescent="0.25"/>
  <cols>
    <col min="1" max="1" width="2.42578125" customWidth="1"/>
    <col min="3" max="3" width="2.28515625" customWidth="1"/>
    <col min="5" max="5" width="2.28515625" customWidth="1"/>
    <col min="7" max="7" width="3" customWidth="1"/>
    <col min="8" max="8" width="19.5703125" style="2" bestFit="1" customWidth="1"/>
    <col min="9" max="9" width="2.85546875" customWidth="1"/>
    <col min="10" max="10" width="24.7109375" style="2" bestFit="1" customWidth="1"/>
    <col min="12" max="12" width="14.140625" bestFit="1" customWidth="1"/>
    <col min="13" max="13" width="19" bestFit="1" customWidth="1"/>
    <col min="14" max="14" width="21" bestFit="1" customWidth="1"/>
    <col min="17" max="17" width="20.7109375" customWidth="1"/>
  </cols>
  <sheetData>
    <row r="1" spans="2:18" x14ac:dyDescent="0.25">
      <c r="B1" s="2" t="s">
        <v>14</v>
      </c>
      <c r="D1" s="2" t="s">
        <v>15</v>
      </c>
      <c r="F1" s="2" t="s">
        <v>18</v>
      </c>
      <c r="H1" s="2" t="s">
        <v>10</v>
      </c>
      <c r="J1" s="2" t="s">
        <v>53</v>
      </c>
      <c r="K1" s="46">
        <f>VLOOKUP(Carátula!$E$39,Catálogos!J2:K6,2,0)</f>
        <v>1</v>
      </c>
      <c r="M1" s="2" t="s">
        <v>66</v>
      </c>
      <c r="N1" s="2"/>
      <c r="O1" s="2"/>
      <c r="Q1" t="s">
        <v>113</v>
      </c>
      <c r="R1">
        <f>VLOOKUP(Carátula!H31,Catálogos!P2:Q3,2,0)</f>
        <v>5.9999999999999995E-4</v>
      </c>
    </row>
    <row r="2" spans="2:18" x14ac:dyDescent="0.25">
      <c r="B2" s="2">
        <v>60</v>
      </c>
      <c r="D2" s="2" t="s">
        <v>16</v>
      </c>
      <c r="F2" s="2" t="s">
        <v>19</v>
      </c>
      <c r="H2" s="2" t="s">
        <v>21</v>
      </c>
      <c r="J2" s="3">
        <v>9.3799999999999994E-2</v>
      </c>
      <c r="K2" s="2">
        <v>1</v>
      </c>
      <c r="M2" s="2" t="s">
        <v>114</v>
      </c>
      <c r="N2" s="2">
        <v>1</v>
      </c>
      <c r="P2" t="s">
        <v>16</v>
      </c>
      <c r="Q2" s="2">
        <v>5.9999999999999995E-4</v>
      </c>
    </row>
    <row r="3" spans="2:18" x14ac:dyDescent="0.25">
      <c r="B3" s="2">
        <v>72</v>
      </c>
      <c r="D3" s="2" t="s">
        <v>17</v>
      </c>
      <c r="F3" s="2" t="s">
        <v>20</v>
      </c>
      <c r="H3" s="2" t="s">
        <v>22</v>
      </c>
      <c r="J3" s="3">
        <v>9.8799999999999999E-2</v>
      </c>
      <c r="K3" s="2">
        <v>1</v>
      </c>
      <c r="M3" s="2" t="s">
        <v>115</v>
      </c>
      <c r="N3" s="2">
        <v>2</v>
      </c>
      <c r="P3" t="s">
        <v>17</v>
      </c>
      <c r="Q3" s="2">
        <v>8.5829999999999999E-4</v>
      </c>
    </row>
    <row r="4" spans="2:18" x14ac:dyDescent="0.25">
      <c r="B4" s="2">
        <v>84</v>
      </c>
      <c r="H4" s="2" t="s">
        <v>23</v>
      </c>
      <c r="J4" s="3">
        <v>0.1018</v>
      </c>
      <c r="K4" s="2">
        <v>2</v>
      </c>
      <c r="M4" s="2" t="s">
        <v>116</v>
      </c>
      <c r="N4" s="2">
        <v>3</v>
      </c>
      <c r="Q4" t="s">
        <v>172</v>
      </c>
      <c r="R4" s="139">
        <f>IF(OR(Carátula!$I$15="SI",Catálogos!$R$12=2),0,0.0003)</f>
        <v>0</v>
      </c>
    </row>
    <row r="5" spans="2:18" x14ac:dyDescent="0.25">
      <c r="B5" s="2">
        <v>96</v>
      </c>
      <c r="H5" s="2" t="s">
        <v>24</v>
      </c>
      <c r="J5" s="3">
        <v>0.10680000000000001</v>
      </c>
      <c r="K5" s="2">
        <v>2</v>
      </c>
      <c r="N5" s="2"/>
      <c r="Q5" s="2">
        <v>2.9999999999999997E-4</v>
      </c>
    </row>
    <row r="6" spans="2:18" x14ac:dyDescent="0.25">
      <c r="B6" s="2">
        <v>108</v>
      </c>
      <c r="H6" s="2" t="s">
        <v>25</v>
      </c>
      <c r="J6" s="3">
        <v>0.1118</v>
      </c>
      <c r="K6" s="2">
        <v>2</v>
      </c>
      <c r="M6" s="46" t="s">
        <v>66</v>
      </c>
      <c r="N6" s="2">
        <f>VLOOKUP(Carátula!N39,Catálogos!M2:N4,2,0)</f>
        <v>2</v>
      </c>
      <c r="P6" t="s">
        <v>173</v>
      </c>
      <c r="Q6" s="2">
        <f>Q5/1.16</f>
        <v>2.5862068965517242E-4</v>
      </c>
    </row>
    <row r="7" spans="2:18" x14ac:dyDescent="0.25">
      <c r="B7" s="2">
        <v>120</v>
      </c>
      <c r="H7" s="2" t="s">
        <v>26</v>
      </c>
    </row>
    <row r="8" spans="2:18" x14ac:dyDescent="0.25">
      <c r="B8" s="2">
        <v>132</v>
      </c>
      <c r="H8" s="2" t="s">
        <v>27</v>
      </c>
      <c r="K8" s="2"/>
    </row>
    <row r="9" spans="2:18" x14ac:dyDescent="0.25">
      <c r="B9" s="2">
        <v>144</v>
      </c>
      <c r="H9" s="2" t="s">
        <v>28</v>
      </c>
      <c r="M9" t="s">
        <v>169</v>
      </c>
      <c r="N9" s="98">
        <f>2%*1.16</f>
        <v>2.3199999999999998E-2</v>
      </c>
    </row>
    <row r="10" spans="2:18" x14ac:dyDescent="0.25">
      <c r="B10" s="2">
        <v>156</v>
      </c>
      <c r="H10" s="2" t="s">
        <v>29</v>
      </c>
      <c r="J10" s="46" t="s">
        <v>171</v>
      </c>
      <c r="K10" s="2">
        <f>VLOOKUP(Carátula!I35,Catálogos!$J$10:$K$12,2,0)</f>
        <v>2</v>
      </c>
      <c r="N10" s="122">
        <f>IF(K1=1,Catálogos!N9,0)</f>
        <v>2.3199999999999998E-2</v>
      </c>
    </row>
    <row r="11" spans="2:18" x14ac:dyDescent="0.25">
      <c r="B11" s="2">
        <v>168</v>
      </c>
      <c r="H11" s="2" t="s">
        <v>30</v>
      </c>
      <c r="J11" s="2" t="s">
        <v>197</v>
      </c>
      <c r="K11" s="2">
        <v>1</v>
      </c>
    </row>
    <row r="12" spans="2:18" x14ac:dyDescent="0.25">
      <c r="B12" s="2">
        <v>180</v>
      </c>
      <c r="H12" s="2" t="s">
        <v>31</v>
      </c>
      <c r="J12" s="2" t="s">
        <v>195</v>
      </c>
      <c r="K12" s="2">
        <v>2</v>
      </c>
      <c r="R12" s="46">
        <f>VLOOKUP(Carátula!I35,Catálogos!Q13:R14,2,0)</f>
        <v>2</v>
      </c>
    </row>
    <row r="13" spans="2:18" x14ac:dyDescent="0.25">
      <c r="B13" s="2">
        <v>192</v>
      </c>
      <c r="H13" s="2" t="s">
        <v>32</v>
      </c>
      <c r="J13" s="46">
        <f>IF($K$10=1,L13,IF(K10=2,L14,""))</f>
        <v>0</v>
      </c>
      <c r="K13" s="154">
        <v>0.85</v>
      </c>
      <c r="L13" t="s">
        <v>176</v>
      </c>
      <c r="Q13" s="2" t="s">
        <v>197</v>
      </c>
      <c r="R13" s="2">
        <v>1</v>
      </c>
    </row>
    <row r="14" spans="2:18" x14ac:dyDescent="0.25">
      <c r="B14" s="2">
        <v>204</v>
      </c>
      <c r="H14" s="2" t="s">
        <v>33</v>
      </c>
      <c r="J14" s="2" t="str">
        <f>IF(K15&gt;K18,J13,"")</f>
        <v/>
      </c>
      <c r="Q14" s="2" t="s">
        <v>195</v>
      </c>
      <c r="R14" s="2">
        <v>2</v>
      </c>
    </row>
    <row r="15" spans="2:18" x14ac:dyDescent="0.25">
      <c r="B15" s="2">
        <v>216</v>
      </c>
      <c r="H15" s="2" t="s">
        <v>34</v>
      </c>
      <c r="K15" s="148">
        <f>IF(K10=1,O16,O17)</f>
        <v>0.26666666666666666</v>
      </c>
    </row>
    <row r="16" spans="2:18" x14ac:dyDescent="0.25">
      <c r="B16" s="2">
        <v>228</v>
      </c>
      <c r="H16" s="2" t="s">
        <v>35</v>
      </c>
      <c r="J16" s="2" t="s">
        <v>179</v>
      </c>
      <c r="K16" s="146">
        <v>0.85</v>
      </c>
      <c r="L16" s="140">
        <f>Carátula!$F$15</f>
        <v>3000000</v>
      </c>
      <c r="M16" s="140">
        <f>K16*Carátula!F15</f>
        <v>2550000</v>
      </c>
      <c r="N16" s="140">
        <f>Carátula!F19</f>
        <v>1200000</v>
      </c>
      <c r="O16" s="147">
        <f>N16/L16</f>
        <v>0.4</v>
      </c>
    </row>
    <row r="17" spans="2:15" x14ac:dyDescent="0.25">
      <c r="B17" s="2">
        <v>240</v>
      </c>
      <c r="H17" s="2" t="s">
        <v>36</v>
      </c>
      <c r="J17" s="2" t="s">
        <v>195</v>
      </c>
      <c r="K17" s="146">
        <v>0.45</v>
      </c>
      <c r="L17" s="140">
        <f>Carátula!$F$15</f>
        <v>3000000</v>
      </c>
      <c r="M17" s="140">
        <f>K17*Carátula!F15</f>
        <v>1350000</v>
      </c>
      <c r="N17" s="140">
        <f>Carátula!F21</f>
        <v>800000</v>
      </c>
      <c r="O17" s="147">
        <f>N17/L17</f>
        <v>0.26666666666666666</v>
      </c>
    </row>
    <row r="18" spans="2:15" x14ac:dyDescent="0.25">
      <c r="H18" s="2" t="s">
        <v>37</v>
      </c>
      <c r="K18" s="148">
        <f>IF(K10=1,K16,K17)</f>
        <v>0.45</v>
      </c>
    </row>
    <row r="19" spans="2:15" x14ac:dyDescent="0.25">
      <c r="H19" s="2" t="s">
        <v>38</v>
      </c>
    </row>
    <row r="20" spans="2:15" x14ac:dyDescent="0.25">
      <c r="H20" s="2" t="s">
        <v>39</v>
      </c>
    </row>
    <row r="21" spans="2:15" x14ac:dyDescent="0.25">
      <c r="H21" s="2" t="s">
        <v>40</v>
      </c>
      <c r="K21" s="397" t="s">
        <v>182</v>
      </c>
      <c r="L21" s="397"/>
      <c r="M21" s="397"/>
      <c r="N21" s="397"/>
    </row>
    <row r="22" spans="2:15" x14ac:dyDescent="0.25">
      <c r="H22" s="2" t="s">
        <v>41</v>
      </c>
      <c r="K22" s="2" t="s">
        <v>183</v>
      </c>
      <c r="L22" s="2" t="s">
        <v>184</v>
      </c>
      <c r="M22" s="2" t="s">
        <v>189</v>
      </c>
      <c r="N22" s="2" t="s">
        <v>188</v>
      </c>
    </row>
    <row r="23" spans="2:15" x14ac:dyDescent="0.25">
      <c r="H23" s="2" t="s">
        <v>42</v>
      </c>
      <c r="K23" s="146">
        <v>0.85</v>
      </c>
      <c r="L23" s="140">
        <f>Carátula!$F$15</f>
        <v>3000000</v>
      </c>
      <c r="M23" s="149">
        <f>L23*K23</f>
        <v>2550000</v>
      </c>
      <c r="N23" s="149">
        <f>L23*K25</f>
        <v>1350000</v>
      </c>
    </row>
    <row r="24" spans="2:15" x14ac:dyDescent="0.25">
      <c r="H24" s="2" t="s">
        <v>43</v>
      </c>
      <c r="K24" s="2" t="s">
        <v>187</v>
      </c>
      <c r="L24" t="s">
        <v>185</v>
      </c>
      <c r="M24" s="140">
        <f>L25+L27</f>
        <v>2000000</v>
      </c>
      <c r="N24" s="140">
        <f>M23-L25</f>
        <v>1350000</v>
      </c>
    </row>
    <row r="25" spans="2:15" x14ac:dyDescent="0.25">
      <c r="H25" s="2" t="s">
        <v>44</v>
      </c>
      <c r="K25" s="146">
        <v>0.45</v>
      </c>
      <c r="L25" s="140">
        <f>Carátula!$F$19</f>
        <v>1200000</v>
      </c>
    </row>
    <row r="26" spans="2:15" x14ac:dyDescent="0.25">
      <c r="H26" s="2" t="s">
        <v>45</v>
      </c>
      <c r="L26" t="s">
        <v>186</v>
      </c>
    </row>
    <row r="27" spans="2:15" x14ac:dyDescent="0.25">
      <c r="H27" s="2" t="s">
        <v>46</v>
      </c>
      <c r="L27" s="140">
        <f>Carátula!$F$21</f>
        <v>800000</v>
      </c>
    </row>
    <row r="28" spans="2:15" x14ac:dyDescent="0.25">
      <c r="H28" s="2" t="s">
        <v>47</v>
      </c>
    </row>
    <row r="29" spans="2:15" x14ac:dyDescent="0.25">
      <c r="H29" s="2" t="s">
        <v>48</v>
      </c>
    </row>
    <row r="30" spans="2:15" x14ac:dyDescent="0.25">
      <c r="H30" s="2" t="s">
        <v>49</v>
      </c>
    </row>
    <row r="31" spans="2:15" x14ac:dyDescent="0.25">
      <c r="H31" s="2" t="s">
        <v>50</v>
      </c>
    </row>
    <row r="32" spans="2:15" x14ac:dyDescent="0.25">
      <c r="H32" s="2" t="s">
        <v>51</v>
      </c>
    </row>
    <row r="33" spans="8:8" x14ac:dyDescent="0.25">
      <c r="H33" s="2" t="s">
        <v>52</v>
      </c>
    </row>
  </sheetData>
  <mergeCells count="1">
    <mergeCell ref="K21:N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E8CDD-CC30-4EA9-A5E8-23455F488AB7}">
  <dimension ref="A1:I16"/>
  <sheetViews>
    <sheetView showGridLines="0" workbookViewId="0">
      <selection activeCell="K8" sqref="K8"/>
    </sheetView>
  </sheetViews>
  <sheetFormatPr baseColWidth="10" defaultRowHeight="15" x14ac:dyDescent="0.25"/>
  <cols>
    <col min="1" max="1" width="14.140625" customWidth="1"/>
    <col min="8" max="8" width="18" customWidth="1"/>
    <col min="9" max="9" width="18.28515625" customWidth="1"/>
  </cols>
  <sheetData>
    <row r="1" spans="1:9" x14ac:dyDescent="0.25">
      <c r="A1" s="56" t="s">
        <v>123</v>
      </c>
      <c r="B1" s="57"/>
      <c r="C1" s="58"/>
      <c r="D1" s="58"/>
      <c r="E1" s="58"/>
      <c r="F1" s="58"/>
      <c r="G1" s="58"/>
      <c r="H1" s="58"/>
      <c r="I1" s="59"/>
    </row>
    <row r="2" spans="1:9" x14ac:dyDescent="0.25">
      <c r="A2" s="60"/>
      <c r="B2" s="61"/>
      <c r="C2" s="61"/>
      <c r="D2" s="61"/>
      <c r="E2" s="61"/>
      <c r="F2" s="62"/>
      <c r="G2" s="62"/>
      <c r="H2" s="62"/>
      <c r="I2" s="63"/>
    </row>
    <row r="3" spans="1:9" x14ac:dyDescent="0.25">
      <c r="A3" s="64" t="s">
        <v>124</v>
      </c>
      <c r="B3" s="62"/>
      <c r="C3" s="62"/>
      <c r="D3" s="62"/>
      <c r="E3" s="62"/>
      <c r="F3" s="62"/>
      <c r="G3" s="62"/>
      <c r="H3" s="62"/>
      <c r="I3" s="63"/>
    </row>
    <row r="4" spans="1:9" x14ac:dyDescent="0.25">
      <c r="A4" s="65"/>
      <c r="B4" s="62"/>
      <c r="C4" s="62"/>
      <c r="D4" s="62"/>
      <c r="E4" s="62"/>
      <c r="F4" s="62"/>
      <c r="G4" s="62"/>
      <c r="H4" s="66" t="s">
        <v>125</v>
      </c>
      <c r="I4" s="67"/>
    </row>
    <row r="5" spans="1:9" x14ac:dyDescent="0.25">
      <c r="A5" s="68" t="s">
        <v>126</v>
      </c>
      <c r="B5" s="69"/>
      <c r="C5" s="69"/>
      <c r="D5" s="62"/>
      <c r="E5" s="70" t="s">
        <v>127</v>
      </c>
      <c r="F5" s="71"/>
      <c r="G5" s="62"/>
      <c r="H5" s="62" t="s">
        <v>128</v>
      </c>
      <c r="I5" s="72" t="str">
        <f>IF(F12,F13,F14)</f>
        <v>0.25 %</v>
      </c>
    </row>
    <row r="6" spans="1:9" x14ac:dyDescent="0.25">
      <c r="A6" s="65" t="s">
        <v>129</v>
      </c>
      <c r="B6" s="73">
        <f>Carátula!$F$15</f>
        <v>3000000</v>
      </c>
      <c r="C6" s="62"/>
      <c r="D6" s="62"/>
      <c r="E6" s="62" t="s">
        <v>130</v>
      </c>
      <c r="F6" s="74">
        <f>VLOOKUP(B6,A11:C16,2,TRUE)</f>
        <v>2.5</v>
      </c>
      <c r="G6" s="62"/>
      <c r="H6" s="62" t="s">
        <v>131</v>
      </c>
      <c r="I6" s="89">
        <f>MAX(F7,F10)</f>
        <v>7500</v>
      </c>
    </row>
    <row r="7" spans="1:9" x14ac:dyDescent="0.25">
      <c r="A7" s="65"/>
      <c r="B7" s="62"/>
      <c r="C7" s="62"/>
      <c r="D7" s="62"/>
      <c r="E7" s="62" t="s">
        <v>132</v>
      </c>
      <c r="F7" s="75">
        <f>VLOOKUP(B6,A11:C16,3,TRUE)</f>
        <v>3000</v>
      </c>
      <c r="G7" s="62"/>
      <c r="H7" s="62" t="s">
        <v>133</v>
      </c>
      <c r="I7" s="76">
        <f>IF(B6&lt;=10000000,0,I6*0.5)</f>
        <v>0</v>
      </c>
    </row>
    <row r="8" spans="1:9" x14ac:dyDescent="0.25">
      <c r="A8" s="77" t="s">
        <v>134</v>
      </c>
      <c r="B8" s="78"/>
      <c r="C8" s="78"/>
      <c r="D8" s="62"/>
      <c r="E8" s="62"/>
      <c r="F8" s="62"/>
      <c r="G8" s="62"/>
      <c r="H8" s="62"/>
      <c r="I8" s="63"/>
    </row>
    <row r="9" spans="1:9" x14ac:dyDescent="0.25">
      <c r="A9" s="65" t="s">
        <v>135</v>
      </c>
      <c r="B9" s="74">
        <v>1000</v>
      </c>
      <c r="C9" s="62"/>
      <c r="D9" s="62"/>
      <c r="E9" s="62" t="s">
        <v>136</v>
      </c>
      <c r="F9" s="74">
        <f>F6/B9</f>
        <v>2.5000000000000001E-3</v>
      </c>
      <c r="G9" s="62"/>
      <c r="H9" s="62"/>
      <c r="I9" s="63"/>
    </row>
    <row r="10" spans="1:9" x14ac:dyDescent="0.25">
      <c r="A10" s="65"/>
      <c r="B10" s="62"/>
      <c r="C10" s="62"/>
      <c r="D10" s="62"/>
      <c r="E10" s="62" t="s">
        <v>137</v>
      </c>
      <c r="F10" s="75">
        <f>B6*F9</f>
        <v>7500</v>
      </c>
      <c r="G10" s="62"/>
      <c r="H10" s="62"/>
      <c r="I10" s="63"/>
    </row>
    <row r="11" spans="1:9" x14ac:dyDescent="0.25">
      <c r="A11" s="79" t="s">
        <v>138</v>
      </c>
      <c r="B11" s="80" t="s">
        <v>130</v>
      </c>
      <c r="C11" s="80" t="s">
        <v>132</v>
      </c>
      <c r="D11" s="62"/>
      <c r="E11" s="62"/>
      <c r="F11" s="62"/>
      <c r="G11" s="62"/>
      <c r="H11" s="62"/>
      <c r="I11" s="63"/>
    </row>
    <row r="12" spans="1:9" x14ac:dyDescent="0.25">
      <c r="A12" s="81">
        <v>0</v>
      </c>
      <c r="B12" s="74">
        <v>3</v>
      </c>
      <c r="C12" s="82">
        <f>1200 * 1</f>
        <v>1200</v>
      </c>
      <c r="D12" s="62"/>
      <c r="E12" s="62" t="s">
        <v>139</v>
      </c>
      <c r="F12" s="74" t="b">
        <f>F10&lt;F7</f>
        <v>0</v>
      </c>
      <c r="G12" s="62"/>
      <c r="H12" s="62"/>
      <c r="I12" s="63"/>
    </row>
    <row r="13" spans="1:9" x14ac:dyDescent="0.25">
      <c r="A13" s="81">
        <v>1000001</v>
      </c>
      <c r="B13" s="74">
        <v>2.5</v>
      </c>
      <c r="C13" s="82">
        <v>3000</v>
      </c>
      <c r="D13" s="62"/>
      <c r="E13" s="62" t="s">
        <v>140</v>
      </c>
      <c r="F13" s="74" t="str">
        <f>DOLLAR(F7)</f>
        <v>$3,000.00</v>
      </c>
      <c r="G13" s="62"/>
      <c r="H13" s="62"/>
      <c r="I13" s="63"/>
    </row>
    <row r="14" spans="1:9" x14ac:dyDescent="0.25">
      <c r="A14" s="81">
        <v>5000001</v>
      </c>
      <c r="B14" s="74">
        <v>2</v>
      </c>
      <c r="C14" s="82">
        <v>12500</v>
      </c>
      <c r="D14" s="62"/>
      <c r="E14" s="62" t="s">
        <v>141</v>
      </c>
      <c r="F14" s="74" t="str">
        <f>TEXT(F9, "0.00 %")</f>
        <v>0.25 %</v>
      </c>
      <c r="G14" s="62"/>
      <c r="H14" s="62"/>
      <c r="I14" s="63"/>
    </row>
    <row r="15" spans="1:9" x14ac:dyDescent="0.25">
      <c r="A15" s="81">
        <v>10000001</v>
      </c>
      <c r="B15" s="74">
        <v>1.5</v>
      </c>
      <c r="C15" s="82">
        <v>20000</v>
      </c>
      <c r="D15" s="62"/>
      <c r="E15" s="62"/>
      <c r="F15" s="62"/>
      <c r="G15" s="62"/>
      <c r="H15" s="62"/>
      <c r="I15" s="63"/>
    </row>
    <row r="16" spans="1:9" ht="15.75" thickBot="1" x14ac:dyDescent="0.3">
      <c r="A16" s="83">
        <v>20000001</v>
      </c>
      <c r="B16" s="84">
        <v>1</v>
      </c>
      <c r="C16" s="85">
        <v>30000</v>
      </c>
      <c r="D16" s="86"/>
      <c r="E16" s="86"/>
      <c r="F16" s="86"/>
      <c r="G16" s="87"/>
      <c r="H16" s="87"/>
      <c r="I16" s="8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5C224-9F83-4E9E-AC79-71A8585AF685}">
  <dimension ref="A1:K242"/>
  <sheetViews>
    <sheetView workbookViewId="0">
      <selection activeCell="K8" sqref="K8"/>
    </sheetView>
  </sheetViews>
  <sheetFormatPr baseColWidth="10" defaultRowHeight="15" x14ac:dyDescent="0.25"/>
  <cols>
    <col min="2" max="2" width="13.42578125" bestFit="1" customWidth="1"/>
    <col min="3" max="3" width="19" bestFit="1" customWidth="1"/>
    <col min="4" max="4" width="16.7109375" customWidth="1"/>
    <col min="5" max="5" width="18.140625" customWidth="1"/>
    <col min="8" max="8" width="13.42578125" bestFit="1" customWidth="1"/>
    <col min="10" max="10" width="19" bestFit="1" customWidth="1"/>
    <col min="11" max="11" width="10.7109375" customWidth="1"/>
  </cols>
  <sheetData>
    <row r="1" spans="1:11" x14ac:dyDescent="0.25">
      <c r="C1" s="2">
        <v>1</v>
      </c>
      <c r="D1" s="2">
        <v>2</v>
      </c>
      <c r="E1" s="2">
        <v>3</v>
      </c>
      <c r="G1" t="s">
        <v>14</v>
      </c>
      <c r="H1" s="92">
        <f>Carátula!$H$29</f>
        <v>240</v>
      </c>
      <c r="J1" s="91" t="s">
        <v>114</v>
      </c>
      <c r="K1" s="2">
        <v>1</v>
      </c>
    </row>
    <row r="2" spans="1:11" x14ac:dyDescent="0.25">
      <c r="B2" s="90" t="s">
        <v>76</v>
      </c>
      <c r="C2" s="90" t="str">
        <f>J1</f>
        <v>Reduce Plazo y Pago</v>
      </c>
      <c r="D2" s="90" t="str">
        <f>J2</f>
        <v>Reduce Plazo</v>
      </c>
      <c r="E2" s="90" t="str">
        <f>J3</f>
        <v>Reduce Pago</v>
      </c>
      <c r="G2" t="s">
        <v>53</v>
      </c>
      <c r="H2" s="3">
        <f>Carátula!$E$39</f>
        <v>9.3799999999999994E-2</v>
      </c>
      <c r="J2" s="91" t="s">
        <v>115</v>
      </c>
      <c r="K2" s="2">
        <v>2</v>
      </c>
    </row>
    <row r="3" spans="1:11" x14ac:dyDescent="0.25">
      <c r="A3" s="2">
        <v>1</v>
      </c>
      <c r="B3" s="95">
        <f>H3</f>
        <v>800000</v>
      </c>
      <c r="C3" s="94">
        <f>IF(A3="","",PPMT($H$2/360*30.4,A3,$H$1,-$H$3)+Carátula!M44-Carátula!N44)</f>
        <v>1122.9854775705796</v>
      </c>
      <c r="D3" s="94">
        <f>IF(A3="","",((PMT($H$2/360*30.4,$H$1,-$H$3))-(($H$2/360*30.4)*(B3)))+Carátula!M44-Carátula!N44)</f>
        <v>1122.9854775705799</v>
      </c>
      <c r="E3" s="94">
        <f>IF(A3="","",PPMT($H$2/360*30.4,1,$H$1-A3+1,-B3)+Carátula!M44-Carátula!N44)</f>
        <v>1122.9854775705796</v>
      </c>
      <c r="G3" t="s">
        <v>144</v>
      </c>
      <c r="H3" s="93">
        <f>Carátula!$F$44</f>
        <v>800000</v>
      </c>
      <c r="J3" s="91" t="s">
        <v>116</v>
      </c>
      <c r="K3" s="2">
        <v>3</v>
      </c>
    </row>
    <row r="4" spans="1:11" x14ac:dyDescent="0.25">
      <c r="A4" s="2">
        <f>IF(A3=$H$1,"",IF(A3="","",A3+1))</f>
        <v>2</v>
      </c>
      <c r="B4" s="95">
        <f>Carátula!F45</f>
        <v>798877.01452242944</v>
      </c>
      <c r="C4" s="94">
        <f>IF(A4="","",PPMT($H$2/360*30.4,A4,$H$1,-$H$3)+Carátula!M45-Carátula!N45)</f>
        <v>196597.08771388186</v>
      </c>
      <c r="D4" s="94">
        <f>IF(A4="","",(PMT($H$2/360*30.4,$H$1,-$H$3)-(($H$2/360*30.4)*(B4))+Carátula!M45-Carátula!N45))</f>
        <v>196597.08771388186</v>
      </c>
      <c r="E4" s="94">
        <f>IF(A4="","",PPMT($H$2/360*30.4,1,$H$1-A4+1,-B4)+Carátula!M45-Carátula!N45)</f>
        <v>196597.08771388186</v>
      </c>
    </row>
    <row r="5" spans="1:11" x14ac:dyDescent="0.25">
      <c r="A5" s="2">
        <f t="shared" ref="A5:A68" si="0">IF(A4=$H$1,"",IF(A4="","",A4+1))</f>
        <v>3</v>
      </c>
      <c r="B5" s="95">
        <f>Carátula!F46</f>
        <v>602279.92680854758</v>
      </c>
      <c r="C5" s="94">
        <f>IF(A5="","",PPMT($H$2/360*30.4,A5,$H$1,-$H$3)+Carátula!M46-Carátula!N46)</f>
        <v>1140.8460206027075</v>
      </c>
      <c r="D5" s="94">
        <f>IF(A5="","",(PMT($H$2/360*30.4,$H$1,-$H$3)-(($H$2/360*30.4)*(B5))+Carátula!M46-Carátula!N46))</f>
        <v>2689.104208423053</v>
      </c>
      <c r="E5" s="94">
        <f>IF(A5="","",PPMT($H$2/360*30.4,1,$H$1-A5+1,-B5)+Carátula!M46-Carátula!N46)</f>
        <v>861.31350540708593</v>
      </c>
    </row>
    <row r="6" spans="1:11" x14ac:dyDescent="0.25">
      <c r="A6" s="2">
        <f t="shared" si="0"/>
        <v>4</v>
      </c>
      <c r="B6" s="95">
        <f>Carátula!F47</f>
        <v>599590.82260012452</v>
      </c>
      <c r="C6" s="94">
        <f>IF(A6="","",PPMT($H$2/360*30.4,A6,$H$1,-$H$3)+Carátula!M47-Carátula!N47)</f>
        <v>1149.8825351712326</v>
      </c>
      <c r="D6" s="94">
        <f>IF(A6="","",(PMT($H$2/360*30.4,$H$1,-$H$3)-(($H$2/360*30.4)*(B6))+Carátula!M47-Carátula!N47))</f>
        <v>2710.4043040686156</v>
      </c>
      <c r="E6" s="94">
        <f>IF(A6="","",PPMT($H$2/360*30.4,1,$H$1-A6+1,-B6)+Carátula!M47-Carátula!N47)</f>
        <v>865.49749425052619</v>
      </c>
    </row>
    <row r="7" spans="1:11" x14ac:dyDescent="0.25">
      <c r="A7" s="2">
        <f t="shared" si="0"/>
        <v>5</v>
      </c>
      <c r="B7" s="95">
        <f>Carátula!F48</f>
        <v>596880.41829605587</v>
      </c>
      <c r="C7" s="94">
        <f>IF(A7="","",PPMT($H$2/360*30.4,A7,$H$1,-$H$3)+Carátula!M48-Carátula!N48)</f>
        <v>1158.9906269675978</v>
      </c>
      <c r="D7" s="94">
        <f>IF(A7="","",(PMT($H$2/360*30.4,$H$1,-$H$3)-(($H$2/360*30.4)*(B7))+Carátula!M48-Carátula!N48))</f>
        <v>2731.8731154051093</v>
      </c>
      <c r="E7" s="94">
        <f>IF(A7="","",PPMT($H$2/360*30.4,1,$H$1-A7+1,-B7)+Carátula!M48-Carátula!N48)</f>
        <v>869.66494306842139</v>
      </c>
    </row>
    <row r="8" spans="1:11" x14ac:dyDescent="0.25">
      <c r="A8" s="2">
        <f t="shared" si="0"/>
        <v>6</v>
      </c>
      <c r="B8" s="95">
        <f>Carátula!F49</f>
        <v>594148.54518065078</v>
      </c>
      <c r="C8" s="94">
        <f>IF(A8="","",PPMT($H$2/360*30.4,A8,$H$1,-$H$3)+Carátula!M49-Carátula!N49)</f>
        <v>1168.1708629470718</v>
      </c>
      <c r="D8" s="94">
        <f>IF(A8="","",(PMT($H$2/360*30.4,$H$1,-$H$3)-(($H$2/360*30.4)*(B8))+Carátula!M49-Carátula!N49))</f>
        <v>2753.5119788107759</v>
      </c>
      <c r="E8" s="94">
        <f>IF(A8="","",PPMT($H$2/360*30.4,1,$H$1-A8+1,-B8)+Carátula!M49-Carátula!N49)</f>
        <v>873.81471149578942</v>
      </c>
    </row>
    <row r="9" spans="1:11" x14ac:dyDescent="0.25">
      <c r="A9" s="2">
        <f t="shared" si="0"/>
        <v>7</v>
      </c>
      <c r="B9" s="95">
        <f>Carátula!F50</f>
        <v>591395.03320184001</v>
      </c>
      <c r="C9" s="94">
        <f>IF(A9="","",PPMT($H$2/360*30.4,A9,$H$1,-$H$3)+Carátula!M50-Carátula!N50)</f>
        <v>1177.4238145557129</v>
      </c>
      <c r="D9" s="94">
        <f>IF(A9="","",(PMT($H$2/360*30.4,$H$1,-$H$3)-(($H$2/360*30.4)*(B9))+Carátula!M50-Carátula!N50))</f>
        <v>2775.3222412491605</v>
      </c>
      <c r="E9" s="94">
        <f>IF(A9="","",PPMT($H$2/360*30.4,1,$H$1-A9+1,-B9)+Carátula!M50-Carátula!N50)</f>
        <v>877.94562752463116</v>
      </c>
    </row>
    <row r="10" spans="1:11" x14ac:dyDescent="0.25">
      <c r="A10" s="2">
        <f t="shared" si="0"/>
        <v>8</v>
      </c>
      <c r="B10" s="95">
        <f>Carátula!F51</f>
        <v>588619.71096059086</v>
      </c>
      <c r="C10" s="94">
        <f>IF(A10="","",PPMT($H$2/360*30.4,A10,$H$1,-$H$3)+Carátula!M51-Carátula!N51)</f>
        <v>1186.7500577659405</v>
      </c>
      <c r="D10" s="94">
        <f>IF(A10="","",(PMT($H$2/360*30.4,$H$1,-$H$3)-(($H$2/360*30.4)*(B10))+Carátula!M51-Carátula!N51))</f>
        <v>2797.3052603529568</v>
      </c>
      <c r="E10" s="94">
        <f>IF(A10="","",PPMT($H$2/360*30.4,1,$H$1-A10+1,-B10)+Carátula!M51-Carátula!N51)</f>
        <v>882.05648668486276</v>
      </c>
    </row>
    <row r="11" spans="1:11" x14ac:dyDescent="0.25">
      <c r="A11" s="2">
        <f t="shared" si="0"/>
        <v>9</v>
      </c>
      <c r="B11" s="95">
        <f>Carátula!F52</f>
        <v>585822.40570023796</v>
      </c>
      <c r="C11" s="94">
        <f>IF(A11="","",PPMT($H$2/360*30.4,A11,$H$1,-$H$3)+Carátula!M52-Carátula!N52)</f>
        <v>1196.1501731123867</v>
      </c>
      <c r="D11" s="94">
        <f>IF(A11="","",(PMT($H$2/360*30.4,$H$1,-$H$3)-(($H$2/360*30.4)*(B11))+Carátula!M52-Carátula!N52))</f>
        <v>2819.4624045085166</v>
      </c>
      <c r="E11" s="94">
        <f>IF(A11="","",PPMT($H$2/360*30.4,1,$H$1-A11+1,-B11)+Carátula!M52-Carátula!N52)</f>
        <v>886.1460512025709</v>
      </c>
    </row>
    <row r="12" spans="1:11" x14ac:dyDescent="0.25">
      <c r="A12" s="2">
        <f t="shared" si="0"/>
        <v>10</v>
      </c>
      <c r="B12" s="95">
        <f>Carátula!F53</f>
        <v>583002.94329572946</v>
      </c>
      <c r="C12" s="94">
        <f>IF(A12="","",PPMT($H$2/360*30.4,A12,$H$1,-$H$3)+Carátula!M53-Carátula!N53)</f>
        <v>1205.6247457280356</v>
      </c>
      <c r="D12" s="94">
        <f>IF(A12="","",(PMT($H$2/360*30.4,$H$1,-$H$3)-(($H$2/360*30.4)*(B12))+Carátula!M53-Carátula!N53))</f>
        <v>2841.7950529410282</v>
      </c>
      <c r="E12" s="94">
        <f>IF(A12="","",PPMT($H$2/360*30.4,1,$H$1-A12+1,-B12)+Carátula!M53-Carátula!N53)</f>
        <v>890.21304913489087</v>
      </c>
    </row>
    <row r="13" spans="1:11" x14ac:dyDescent="0.25">
      <c r="A13" s="2">
        <f t="shared" si="0"/>
        <v>11</v>
      </c>
      <c r="B13" s="95">
        <f>Carátula!F54</f>
        <v>580161.14824278839</v>
      </c>
      <c r="C13" s="94">
        <f>IF(A13="","",PPMT($H$2/360*30.4,A13,$H$1,-$H$3)+Carátula!M54-Carátula!N54)</f>
        <v>1215.174365380642</v>
      </c>
      <c r="D13" s="94">
        <f>IF(A13="","",(PMT($H$2/360*30.4,$H$1,-$H$3)-(($H$2/360*30.4)*(B13))+Carátula!M54-Carátula!N54))</f>
        <v>2864.3045958003686</v>
      </c>
      <c r="E13" s="94">
        <f>IF(A13="","",PPMT($H$2/360*30.4,1,$H$1-A13+1,-B13)+Carátula!M54-Carátula!N54)</f>
        <v>894.25617348077287</v>
      </c>
    </row>
    <row r="14" spans="1:11" x14ac:dyDescent="0.25">
      <c r="A14" s="2">
        <f t="shared" si="0"/>
        <v>12</v>
      </c>
      <c r="B14" s="95">
        <f>Carátula!F55</f>
        <v>577296.84364698804</v>
      </c>
      <c r="C14" s="94">
        <f>IF(A14="","",PPMT($H$2/360*30.4,A14,$H$1,-$H$3)+Carátula!M55-Carátula!N55)</f>
        <v>1224.7996265094482</v>
      </c>
      <c r="D14" s="94">
        <f>IF(A14="","",(PMT($H$2/360*30.4,$H$1,-$H$3)-(($H$2/360*30.4)*(B14))+Carátula!M55-Carátula!N55))</f>
        <v>2886.992434247637</v>
      </c>
      <c r="E14" s="94">
        <f>IF(A14="","",PPMT($H$2/360*30.4,1,$H$1-A14+1,-B14)+Carátula!M55-Carátula!N55)</f>
        <v>898.27408126689591</v>
      </c>
    </row>
    <row r="15" spans="1:11" x14ac:dyDescent="0.25">
      <c r="A15" s="2">
        <f t="shared" si="0"/>
        <v>13</v>
      </c>
      <c r="B15" s="95">
        <f>Carátula!F56</f>
        <v>574409.85121274041</v>
      </c>
      <c r="C15" s="94">
        <f>IF(A15="","",PPMT($H$2/360*30.4,A15,$H$1,-$H$3)+Carátula!M56-Carátula!N56)</f>
        <v>1234.5011282621822</v>
      </c>
      <c r="D15" s="94">
        <f>IF(A15="","",(PMT($H$2/360*30.4,$H$1,-$H$3)-(($H$2/360*30.4)*(B15))+Carátula!M56-Carátula!N56))</f>
        <v>2909.8599805423755</v>
      </c>
      <c r="E15" s="94">
        <f>IF(A15="","",PPMT($H$2/360*30.4,1,$H$1-A15+1,-B15)+Carátula!M56-Carátula!N56)</f>
        <v>902.26539260793845</v>
      </c>
    </row>
    <row r="16" spans="1:11" x14ac:dyDescent="0.25">
      <c r="A16" s="2">
        <f t="shared" si="0"/>
        <v>14</v>
      </c>
      <c r="B16" s="95">
        <f>Carátula!F57</f>
        <v>571499.99123219808</v>
      </c>
      <c r="C16" s="94">
        <f>IF(A16="","",PPMT($H$2/360*30.4,A16,$H$1,-$H$3)+Carátula!M57-Carátula!N57)</f>
        <v>1244.2794745323549</v>
      </c>
      <c r="D16" s="94">
        <f>IF(A16="","",(PMT($H$2/360*30.4,$H$1,-$H$3)-(($H$2/360*30.4)*(B16))+Carátula!M57-Carátula!N57))</f>
        <v>2932.9086581304755</v>
      </c>
      <c r="E16" s="94">
        <f>IF(A16="","",PPMT($H$2/360*30.4,1,$H$1-A16+1,-B16)+Carátula!M57-Carátula!N57)</f>
        <v>906.22868974040978</v>
      </c>
    </row>
    <row r="17" spans="1:5" x14ac:dyDescent="0.25">
      <c r="A17" s="2">
        <f t="shared" si="0"/>
        <v>15</v>
      </c>
      <c r="B17" s="95">
        <f>Carátula!F58</f>
        <v>568567.08257406764</v>
      </c>
      <c r="C17" s="94">
        <f>IF(A17="","",PPMT($H$2/360*30.4,A17,$H$1,-$H$3)+Carátula!M58-Carátula!N58)</f>
        <v>1254.1352739968504</v>
      </c>
      <c r="D17" s="94">
        <f>IF(A17="","",(PMT($H$2/360*30.4,$H$1,-$H$3)-(($H$2/360*30.4)*(B17))+Carátula!M58-Carátula!N58))</f>
        <v>2956.1399017327867</v>
      </c>
      <c r="E17" s="94">
        <f>IF(A17="","",PPMT($H$2/360*30.4,1,$H$1-A17+1,-B17)+Carátula!M58-Carátula!N58)</f>
        <v>910.16251602919806</v>
      </c>
    </row>
    <row r="18" spans="1:5" x14ac:dyDescent="0.25">
      <c r="A18" s="2">
        <f t="shared" si="0"/>
        <v>16</v>
      </c>
      <c r="B18" s="95">
        <f>Carátula!F59</f>
        <v>565610.94267233484</v>
      </c>
      <c r="C18" s="94">
        <f>IF(A18="","",PPMT($H$2/360*30.4,A18,$H$1,-$H$3)+Carátula!M59-Carátula!N59)</f>
        <v>1264.0691401538161</v>
      </c>
      <c r="D18" s="94">
        <f>IF(A18="","",(PMT($H$2/360*30.4,$H$1,-$H$3)-(($H$2/360*30.4)*(B18))+Carátula!M59-Carátula!N59))</f>
        <v>2979.5551574344236</v>
      </c>
      <c r="E18" s="94">
        <f>IF(A18="","",PPMT($H$2/360*30.4,1,$H$1-A18+1,-B18)+Carátula!M59-Carátula!N59)</f>
        <v>914.06537494597717</v>
      </c>
    </row>
    <row r="19" spans="1:5" x14ac:dyDescent="0.25">
      <c r="A19" s="2">
        <f t="shared" si="0"/>
        <v>17</v>
      </c>
      <c r="B19" s="95">
        <f>Carátula!F60</f>
        <v>562631.38751490042</v>
      </c>
      <c r="C19" s="94">
        <f>IF(A19="","",PPMT($H$2/360*30.4,A19,$H$1,-$H$3)+Carátula!M60-Carátula!N60)</f>
        <v>1274.0816913608476</v>
      </c>
      <c r="D19" s="94">
        <f>IF(A19="","",(PMT($H$2/360*30.4,$H$1,-$H$3)-(($H$2/360*30.4)*(B19))+Carátula!M60-Carátula!N60))</f>
        <v>3003.1558827747776</v>
      </c>
      <c r="E19" s="94">
        <f>IF(A19="","",PPMT($H$2/360*30.4,1,$H$1-A19+1,-B19)+Carátula!M60-Carátula!N60)</f>
        <v>917.93572901857158</v>
      </c>
    </row>
    <row r="20" spans="1:5" x14ac:dyDescent="0.25">
      <c r="A20" s="2">
        <f t="shared" si="0"/>
        <v>18</v>
      </c>
      <c r="B20" s="95">
        <f>Carátula!F61</f>
        <v>559628.23163212568</v>
      </c>
      <c r="C20" s="94">
        <f>IF(A20="","",PPMT($H$2/360*30.4,A20,$H$1,-$H$3)+Carátula!M61-Carátula!N61)</f>
        <v>1284.1735508734846</v>
      </c>
      <c r="D20" s="94">
        <f>IF(A20="","",(PMT($H$2/360*30.4,$H$1,-$H$3)-(($H$2/360*30.4)*(B20))+Carátula!M61-Carátula!N61))</f>
        <v>3026.9435468382489</v>
      </c>
      <c r="E20" s="94">
        <f>IF(A20="","",PPMT($H$2/360*30.4,1,$H$1-A20+1,-B20)+Carátula!M61-Carátula!N61)</f>
        <v>921.77199875035467</v>
      </c>
    </row>
    <row r="21" spans="1:5" x14ac:dyDescent="0.25">
      <c r="A21" s="2">
        <f t="shared" si="0"/>
        <v>19</v>
      </c>
      <c r="B21" s="95">
        <f>Carátula!F62</f>
        <v>556601.28808528744</v>
      </c>
      <c r="C21" s="94">
        <f>IF(A21="","",PPMT($H$2/360*30.4,A21,$H$1,-$H$3)+Carátula!M62-Carátula!N62)</f>
        <v>1294.3453468840034</v>
      </c>
      <c r="D21" s="94">
        <f>IF(A21="","",(PMT($H$2/360*30.4,$H$1,-$H$3)-(($H$2/360*30.4)*(B21))+Carátula!M62-Carátula!N62))</f>
        <v>3050.9196303456938</v>
      </c>
      <c r="E21" s="94">
        <f>IF(A21="","",PPMT($H$2/360*30.4,1,$H$1-A21+1,-B21)+Carátula!M62-Carátula!N62)</f>
        <v>925.57256150871251</v>
      </c>
    </row>
    <row r="22" spans="1:5" x14ac:dyDescent="0.25">
      <c r="A22" s="2">
        <f t="shared" si="0"/>
        <v>20</v>
      </c>
      <c r="B22" s="95">
        <f>Carátula!F63</f>
        <v>553550.36845494178</v>
      </c>
      <c r="C22" s="94">
        <f>IF(A22="","",PPMT($H$2/360*30.4,A22,$H$1,-$H$3)+Carátula!M63-Carátula!N63)</f>
        <v>1304.597712560522</v>
      </c>
      <c r="D22" s="94">
        <f>IF(A22="","",(PMT($H$2/360*30.4,$H$1,-$H$3)-(($H$2/360*30.4)*(B22))+Carátula!M63-Carátula!N63))</f>
        <v>3075.0856257465921</v>
      </c>
      <c r="E22" s="94">
        <f>IF(A22="","",PPMT($H$2/360*30.4,1,$H$1-A22+1,-B22)+Carátula!M63-Carátula!N63)</f>
        <v>929.33575038158517</v>
      </c>
    </row>
    <row r="23" spans="1:5" x14ac:dyDescent="0.25">
      <c r="A23" s="2">
        <f t="shared" si="0"/>
        <v>21</v>
      </c>
      <c r="B23" s="95">
        <f>Carátula!F64</f>
        <v>550475.28282919514</v>
      </c>
      <c r="C23" s="94">
        <f>IF(A23="","",PPMT($H$2/360*30.4,A23,$H$1,-$H$3)+Carátula!M64-Carátula!N64)</f>
        <v>1314.9312860864125</v>
      </c>
      <c r="D23" s="94">
        <f>IF(A23="","",(PMT($H$2/360*30.4,$H$1,-$H$3)-(($H$2/360*30.4)*(B23))+Carátula!M64-Carátula!N64))</f>
        <v>3099.4430373119503</v>
      </c>
      <c r="E23" s="94">
        <f>IF(A23="","",PPMT($H$2/360*30.4,1,$H$1-A23+1,-B23)+Carátula!M64-Carátula!N64)</f>
        <v>933.05985300104282</v>
      </c>
    </row>
    <row r="24" spans="1:5" x14ac:dyDescent="0.25">
      <c r="A24" s="2">
        <f t="shared" si="0"/>
        <v>22</v>
      </c>
      <c r="B24" s="95">
        <f>Carátula!F65</f>
        <v>547375.83979188325</v>
      </c>
      <c r="C24" s="94">
        <f>IF(A24="","",PPMT($H$2/360*30.4,A24,$H$1,-$H$3)+Carátula!M65-Carátula!N65)</f>
        <v>1325.3467107000267</v>
      </c>
      <c r="D24" s="94">
        <f>IF(A24="","",(PMT($H$2/360*30.4,$H$1,-$H$3)-(($H$2/360*30.4)*(B24))+Carátula!M65-Carátula!N65))</f>
        <v>3123.9933812279378</v>
      </c>
      <c r="E24" s="94">
        <f>IF(A24="","",PPMT($H$2/360*30.4,1,$H$1-A24+1,-B24)+Carátula!M65-Carátula!N65)</f>
        <v>936.74311033283414</v>
      </c>
    </row>
    <row r="25" spans="1:5" x14ac:dyDescent="0.25">
      <c r="A25" s="2">
        <f t="shared" si="0"/>
        <v>23</v>
      </c>
      <c r="B25" s="95">
        <f>Carátula!F66</f>
        <v>544251.8464106553</v>
      </c>
      <c r="C25" s="94">
        <f>IF(A25="","",PPMT($H$2/360*30.4,A25,$H$1,-$H$3)+Carátula!M66-Carátula!N66)</f>
        <v>1335.8446347347358</v>
      </c>
      <c r="D25" s="94">
        <f>IF(A25="","",(PMT($H$2/360*30.4,$H$1,-$H$3)-(($H$2/360*30.4)*(B25))+Carátula!M66-Carátula!N66))</f>
        <v>3148.7381856902693</v>
      </c>
      <c r="E25" s="94">
        <f>IF(A25="","",PPMT($H$2/360*30.4,1,$H$1-A25+1,-B25)+Carátula!M66-Carátula!N66)</f>
        <v>940.38371543078597</v>
      </c>
    </row>
    <row r="26" spans="1:5" x14ac:dyDescent="0.25">
      <c r="A26" s="2">
        <f t="shared" si="0"/>
        <v>24</v>
      </c>
      <c r="B26" s="95">
        <f>Carátula!F67</f>
        <v>541103.10822496505</v>
      </c>
      <c r="C26" s="94">
        <f>IF(A26="","",PPMT($H$2/360*30.4,A26,$H$1,-$H$3)+Carátula!M67-Carátula!N67)</f>
        <v>1346.4257116592883</v>
      </c>
      <c r="D26" s="94">
        <f>IF(A26="","",(PMT($H$2/360*30.4,$H$1,-$H$3)-(($H$2/360*30.4)*(B26))+Carátula!M67-Carátula!N67))</f>
        <v>3173.6789909993231</v>
      </c>
      <c r="E26" s="94">
        <f>IF(A26="","",PPMT($H$2/360*30.4,1,$H$1-A26+1,-B26)+Carátula!M67-Carátula!N67)</f>
        <v>943.97981215491404</v>
      </c>
    </row>
    <row r="27" spans="1:5" x14ac:dyDescent="0.25">
      <c r="A27" s="2">
        <f t="shared" si="0"/>
        <v>25</v>
      </c>
      <c r="B27" s="95">
        <f>Carátula!F68</f>
        <v>537929.4292339657</v>
      </c>
      <c r="C27" s="94">
        <f>IF(A27="","",PPMT($H$2/360*30.4,A27,$H$1,-$H$3)+Carátula!M68-Carátula!N68)</f>
        <v>1357.0906001184844</v>
      </c>
      <c r="D27" s="94">
        <f>IF(A27="","",(PMT($H$2/360*30.4,$H$1,-$H$3)-(($H$2/360*30.4)*(B27))+Carátula!M68-Carátula!N68))</f>
        <v>3198.8173496560303</v>
      </c>
      <c r="E27" s="94">
        <f>IF(A27="","",PPMT($H$2/360*30.4,1,$H$1-A27+1,-B27)+Carátula!M68-Carátula!N68)</f>
        <v>947.52949385204045</v>
      </c>
    </row>
    <row r="28" spans="1:5" x14ac:dyDescent="0.25">
      <c r="A28" s="2">
        <f t="shared" si="0"/>
        <v>26</v>
      </c>
      <c r="B28" s="95">
        <f>Carátula!F69</f>
        <v>534730.61188430968</v>
      </c>
      <c r="C28" s="94">
        <f>IF(A28="","",PPMT($H$2/360*30.4,A28,$H$1,-$H$3)+Carátula!M69-Carátula!N69)</f>
        <v>1367.8399639741785</v>
      </c>
      <c r="D28" s="94">
        <f>IF(A28="","",(PMT($H$2/360*30.4,$H$1,-$H$3)-(($H$2/360*30.4)*(B28))+Carátula!M69-Carátula!N69))</f>
        <v>3224.1548264585053</v>
      </c>
      <c r="E28" s="94">
        <f>IF(A28="","",PPMT($H$2/360*30.4,1,$H$1-A28+1,-B28)+Carátula!M69-Carátula!N69)</f>
        <v>951.03080199768408</v>
      </c>
    </row>
    <row r="29" spans="1:5" x14ac:dyDescent="0.25">
      <c r="A29" s="2">
        <f t="shared" si="0"/>
        <v>27</v>
      </c>
      <c r="B29" s="95">
        <f>Carátula!F70</f>
        <v>531506.45705785113</v>
      </c>
      <c r="C29" s="94">
        <f>IF(A29="","",PPMT($H$2/360*30.4,A29,$H$1,-$H$3)+Carátula!M70-Carátula!N70)</f>
        <v>1378.6744723465997</v>
      </c>
      <c r="D29" s="94">
        <f>IF(A29="","",(PMT($H$2/360*30.4,$H$1,-$H$3)-(($H$2/360*30.4)*(B29))+Carátula!M70-Carátula!N70))</f>
        <v>3249.6929985994584</v>
      </c>
      <c r="E29" s="94">
        <f>IF(A29="","",PPMT($H$2/360*30.4,1,$H$1-A29+1,-B29)+Carátula!M70-Carátula!N70)</f>
        <v>954.48172479793607</v>
      </c>
    </row>
    <row r="30" spans="1:5" x14ac:dyDescent="0.25">
      <c r="A30" s="2">
        <f t="shared" si="0"/>
        <v>28</v>
      </c>
      <c r="B30" s="95">
        <f>Carátula!F71</f>
        <v>528256.76405925164</v>
      </c>
      <c r="C30" s="94">
        <f>IF(A30="","",PPMT($H$2/360*30.4,A30,$H$1,-$H$3)+Carátula!M71-Carátula!N71)</f>
        <v>1389.5947996560046</v>
      </c>
      <c r="D30" s="94">
        <f>IF(A30="","",(PMT($H$2/360*30.4,$H$1,-$H$3)-(($H$2/360*30.4)*(B30))+Carátula!M71-Carátula!N71))</f>
        <v>3275.4334557643651</v>
      </c>
      <c r="E30" s="94">
        <f>IF(A30="","",PPMT($H$2/360*30.4,1,$H$1-A30+1,-B30)+Carátula!M71-Carátula!N71)</f>
        <v>957.88019574998464</v>
      </c>
    </row>
    <row r="31" spans="1:5" x14ac:dyDescent="0.25">
      <c r="A31" s="2">
        <f t="shared" si="0"/>
        <v>29</v>
      </c>
      <c r="B31" s="95">
        <f>Carátula!F72</f>
        <v>524981.33060348732</v>
      </c>
      <c r="C31" s="94">
        <f>IF(A31="","",PPMT($H$2/360*30.4,A31,$H$1,-$H$3)+Carátula!M72-Carátula!N72)</f>
        <v>1400.6016256646578</v>
      </c>
      <c r="D31" s="94">
        <f>IF(A31="","",(PMT($H$2/360*30.4,$H$1,-$H$3)-(($H$2/360*30.4)*(B31))+Carátula!M72-Carátula!N72))</f>
        <v>3301.3778002304234</v>
      </c>
      <c r="E31" s="94">
        <f>IF(A31="","",PPMT($H$2/360*30.4,1,$H$1-A31+1,-B31)+Carátula!M72-Carátula!N72)</f>
        <v>961.22409215991058</v>
      </c>
    </row>
    <row r="32" spans="1:5" x14ac:dyDescent="0.25">
      <c r="A32" s="2">
        <f t="shared" si="0"/>
        <v>30</v>
      </c>
      <c r="B32" s="95">
        <f>Carátula!F73</f>
        <v>521679.95280325692</v>
      </c>
      <c r="C32" s="94">
        <f>IF(A32="","",PPMT($H$2/360*30.4,A32,$H$1,-$H$3)+Carátula!M73-Carátula!N73)</f>
        <v>1411.6956355191446</v>
      </c>
      <c r="D32" s="94">
        <f>IF(A32="","",(PMT($H$2/360*30.4,$H$1,-$H$3)-(($H$2/360*30.4)*(B32))+Carátula!M73-Carátula!N73))</f>
        <v>3327.5276469662931</v>
      </c>
      <c r="E32" s="94">
        <f>IF(A32="","",PPMT($H$2/360*30.4,1,$H$1-A32+1,-B32)+Carátula!M73-Carátula!N73)</f>
        <v>964.51123361630368</v>
      </c>
    </row>
    <row r="33" spans="1:5" x14ac:dyDescent="0.25">
      <c r="A33" s="2">
        <f t="shared" si="0"/>
        <v>31</v>
      </c>
      <c r="B33" s="95">
        <f>Carátula!F74</f>
        <v>518352.42515629064</v>
      </c>
      <c r="C33" s="94">
        <f>IF(A33="","",PPMT($H$2/360*30.4,A33,$H$1,-$H$3)+Carátula!M74-Carátula!N74)</f>
        <v>1422.8775197930213</v>
      </c>
      <c r="D33" s="94">
        <f>IF(A33="","",(PMT($H$2/360*30.4,$H$1,-$H$3)-(($H$2/360*30.4)*(B33))+Carátula!M74-Carátula!N74))</f>
        <v>3353.8846237326188</v>
      </c>
      <c r="E33" s="94">
        <f>IF(A33="","",PPMT($H$2/360*30.4,1,$H$1-A33+1,-B33)+Carátula!M74-Carátula!N74)</f>
        <v>967.73938041822498</v>
      </c>
    </row>
    <row r="34" spans="1:5" x14ac:dyDescent="0.25">
      <c r="A34" s="2">
        <f t="shared" si="0"/>
        <v>32</v>
      </c>
      <c r="B34" s="95">
        <f>Carátula!F75</f>
        <v>514998.54053255805</v>
      </c>
      <c r="C34" s="94">
        <f>IF(A34="","",PPMT($H$2/360*30.4,A34,$H$1,-$H$3)+Carátula!M75-Carátula!N75)</f>
        <v>1434.1479745297993</v>
      </c>
      <c r="D34" s="94">
        <f>IF(A34="","",(PMT($H$2/360*30.4,$H$1,-$H$3)-(($H$2/360*30.4)*(B34))+Carátula!M75-Carátula!N75))</f>
        <v>3380.4503711833577</v>
      </c>
      <c r="E34" s="94">
        <f>IF(A34="","",PPMT($H$2/360*30.4,1,$H$1-A34+1,-B34)+Carátula!M75-Carátula!N75)</f>
        <v>970.90623195594503</v>
      </c>
    </row>
    <row r="35" spans="1:5" x14ac:dyDescent="0.25">
      <c r="A35" s="2">
        <f t="shared" si="0"/>
        <v>33</v>
      </c>
      <c r="B35" s="95">
        <f>Carátula!F76</f>
        <v>511618.09016137471</v>
      </c>
      <c r="C35" s="94">
        <f>IF(A35="","",PPMT($H$2/360*30.4,A35,$H$1,-$H$3)+Carátula!M76-Carátula!N76)</f>
        <v>1445.5077012862748</v>
      </c>
      <c r="D35" s="94">
        <f>IF(A35="","",(PMT($H$2/360*30.4,$H$1,-$H$3)-(($H$2/360*30.4)*(B35))+Carátula!M76-Carátula!N76))</f>
        <v>3407.2265429679042</v>
      </c>
      <c r="E35" s="94">
        <f>IF(A35="","",PPMT($H$2/360*30.4,1,$H$1-A35+1,-B35)+Carátula!M76-Carátula!N76)</f>
        <v>974.009425042869</v>
      </c>
    </row>
    <row r="36" spans="1:5" x14ac:dyDescent="0.25">
      <c r="A36" s="2">
        <f t="shared" si="0"/>
        <v>34</v>
      </c>
      <c r="B36" s="95">
        <f>Carátula!F77</f>
        <v>508210.86361840682</v>
      </c>
      <c r="C36" s="94">
        <f>IF(A36="","",PPMT($H$2/360*30.4,A36,$H$1,-$H$3)+Carátula!M77-Carátula!N77)</f>
        <v>1456.9574071761965</v>
      </c>
      <c r="D36" s="94">
        <f>IF(A36="","",(PMT($H$2/360*30.4,$H$1,-$H$3)-(($H$2/360*30.4)*(B36))+Carátula!M77-Carátula!N77))</f>
        <v>3434.2148058340258</v>
      </c>
      <c r="E36" s="94">
        <f>IF(A36="","",PPMT($H$2/360*30.4,1,$H$1-A36+1,-B36)+Carátula!M77-Carátula!N77)</f>
        <v>977.04653219695774</v>
      </c>
    </row>
    <row r="37" spans="1:5" x14ac:dyDescent="0.25">
      <c r="A37" s="2">
        <f t="shared" si="0"/>
        <v>35</v>
      </c>
      <c r="B37" s="95">
        <f>Carátula!F78</f>
        <v>504776.64881257276</v>
      </c>
      <c r="C37" s="94">
        <f>IF(A37="","",PPMT($H$2/360*30.4,A37,$H$1,-$H$3)+Carátula!M78-Carátula!N78)</f>
        <v>1468.4978049142831</v>
      </c>
      <c r="D37" s="94">
        <f>IF(A37="","",(PMT($H$2/360*30.4,$H$1,-$H$3)-(($H$2/360*30.4)*(B37))+Carátula!M78-Carátula!N78))</f>
        <v>3461.4168397316143</v>
      </c>
      <c r="E37" s="94">
        <f>IF(A37="","",PPMT($H$2/360*30.4,1,$H$1-A37+1,-B37)+Carátula!M78-Carátula!N78)</f>
        <v>980.01505986992174</v>
      </c>
    </row>
    <row r="38" spans="1:5" x14ac:dyDescent="0.25">
      <c r="A38" s="2">
        <f t="shared" si="0"/>
        <v>36</v>
      </c>
      <c r="B38" s="95">
        <f>Carátula!F79</f>
        <v>501315.23197284114</v>
      </c>
      <c r="C38" s="94">
        <f>IF(A38="","",PPMT($H$2/360*30.4,A38,$H$1,-$H$3)+Carátula!M79-Carátula!N79)</f>
        <v>1480.1296128605863</v>
      </c>
      <c r="D38" s="94">
        <f>IF(A38="","",(PMT($H$2/360*30.4,$H$1,-$H$3)-(($H$2/360*30.4)*(B38))+Carátula!M79-Carátula!N79))</f>
        <v>3488.8343379172575</v>
      </c>
      <c r="E38" s="94">
        <f>IF(A38="","",PPMT($H$2/360*30.4,1,$H$1-A38+1,-B38)+Carátula!M79-Carátula!N79)</f>
        <v>982.91244662237489</v>
      </c>
    </row>
    <row r="39" spans="1:5" x14ac:dyDescent="0.25">
      <c r="A39" s="2">
        <f t="shared" si="0"/>
        <v>37</v>
      </c>
      <c r="B39" s="95">
        <f>Carátula!F80</f>
        <v>497826.39763492387</v>
      </c>
      <c r="C39" s="94">
        <f>IF(A39="","",PPMT($H$2/360*30.4,A39,$H$1,-$H$3)+Carátula!M80-Carátula!N80)</f>
        <v>1491.8535550652093</v>
      </c>
      <c r="D39" s="94">
        <f>IF(A39="","",(PMT($H$2/360*30.4,$H$1,-$H$3)-(($H$2/360*30.4)*(B39))+Carátula!M80-Carátula!N80))</f>
        <v>3516.4690070596403</v>
      </c>
      <c r="E39" s="94">
        <f>IF(A39="","",PPMT($H$2/360*30.4,1,$H$1-A39+1,-B39)+Carátula!M80-Carátula!N80)</f>
        <v>985.73606124307651</v>
      </c>
    </row>
    <row r="40" spans="1:5" x14ac:dyDescent="0.25">
      <c r="A40" s="2">
        <f t="shared" si="0"/>
        <v>38</v>
      </c>
      <c r="B40" s="95">
        <f>Carátula!F81</f>
        <v>494309.92862786422</v>
      </c>
      <c r="C40" s="94">
        <f>IF(A40="","",PPMT($H$2/360*30.4,A40,$H$1,-$H$3)+Carátula!M81-Carátula!N81)</f>
        <v>1503.6703613133745</v>
      </c>
      <c r="D40" s="94">
        <f>IF(A40="","",(PMT($H$2/360*30.4,$H$1,-$H$3)-(($H$2/360*30.4)*(B40))+Carátula!M81-Carátula!N81))</f>
        <v>3544.3225673457814</v>
      </c>
      <c r="E40" s="94">
        <f>IF(A40="","",PPMT($H$2/360*30.4,1,$H$1-A40+1,-B40)+Carátula!M81-Carátula!N81)</f>
        <v>988.48320081030647</v>
      </c>
    </row>
    <row r="41" spans="1:5" x14ac:dyDescent="0.25">
      <c r="A41" s="2">
        <f t="shared" si="0"/>
        <v>39</v>
      </c>
      <c r="B41" s="95">
        <f>Carátula!F82</f>
        <v>490765.60606051842</v>
      </c>
      <c r="C41" s="94">
        <f>IF(A41="","",PPMT($H$2/360*30.4,A41,$H$1,-$H$3)+Carátula!M82-Carátula!N82)</f>
        <v>1515.5807671708535</v>
      </c>
      <c r="D41" s="94">
        <f>IF(A41="","",(PMT($H$2/360*30.4,$H$1,-$H$3)-(($H$2/360*30.4)*(B41))+Carátula!M82-Carátula!N82))</f>
        <v>3572.3967525881089</v>
      </c>
      <c r="E41" s="94">
        <f>IF(A41="","",PPMT($H$2/360*30.4,1,$H$1-A41+1,-B41)+Carátula!M82-Carátula!N82)</f>
        <v>991.15108869335199</v>
      </c>
    </row>
    <row r="42" spans="1:5" x14ac:dyDescent="0.25">
      <c r="A42" s="2">
        <f t="shared" si="0"/>
        <v>40</v>
      </c>
      <c r="B42" s="95">
        <f>Carátula!F83</f>
        <v>487193.20930793032</v>
      </c>
      <c r="C42" s="94">
        <f>IF(A42="","",PPMT($H$2/360*30.4,A42,$H$1,-$H$3)+Carátula!M83-Carátula!N83)</f>
        <v>1527.5855140297504</v>
      </c>
      <c r="D42" s="94">
        <f>IF(A42="","",(PMT($H$2/360*30.4,$H$1,-$H$3)-(($H$2/360*30.4)*(B42))+Carátula!M83-Carátula!N83))</f>
        <v>3600.6933103323868</v>
      </c>
      <c r="E42" s="94">
        <f>IF(A42="","",PPMT($H$2/360*30.4,1,$H$1-A42+1,-B42)+Carátula!M83-Carátula!N83)</f>
        <v>993.7368724919894</v>
      </c>
    </row>
    <row r="43" spans="1:5" x14ac:dyDescent="0.25">
      <c r="A43" s="2">
        <f t="shared" si="0"/>
        <v>41</v>
      </c>
      <c r="B43" s="95">
        <f>Carátula!F84</f>
        <v>483592.51599759795</v>
      </c>
      <c r="C43" s="94">
        <f>IF(A43="","",PPMT($H$2/360*30.4,A43,$H$1,-$H$3)+Carátula!M84-Carátula!N84)</f>
        <v>1539.6853491546565</v>
      </c>
      <c r="D43" s="94">
        <f>IF(A43="","",(PMT($H$2/360*30.4,$H$1,-$H$3)-(($H$2/360*30.4)*(B43))+Carátula!M84-Carátula!N84))</f>
        <v>3629.2140019664948</v>
      </c>
      <c r="E43" s="94">
        <f>IF(A43="","",PPMT($H$2/360*30.4,1,$H$1-A43+1,-B43)+Carátula!M84-Carátula!N84)</f>
        <v>996.23762191177946</v>
      </c>
    </row>
    <row r="44" spans="1:5" x14ac:dyDescent="0.25">
      <c r="A44" s="2">
        <f t="shared" si="0"/>
        <v>42</v>
      </c>
      <c r="B44" s="95">
        <f>Carátula!F85</f>
        <v>479963.30199563142</v>
      </c>
      <c r="C44" s="94">
        <f>IF(A44="","",PPMT($H$2/360*30.4,A44,$H$1,-$H$3)+Carátula!M85-Carátula!N85)</f>
        <v>1551.8810257291607</v>
      </c>
      <c r="D44" s="94">
        <f>IF(A44="","",(PMT($H$2/360*30.4,$H$1,-$H$3)-(($H$2/360*30.4)*(B44))+Carátula!M85-Carátula!N85))</f>
        <v>3657.9606028300714</v>
      </c>
      <c r="E44" s="94">
        <f>IF(A44="","",PPMT($H$2/360*30.4,1,$H$1-A44+1,-B44)+Carátula!M85-Carátula!N85)</f>
        <v>998.65032657287759</v>
      </c>
    </row>
    <row r="45" spans="1:5" x14ac:dyDescent="0.25">
      <c r="A45" s="2">
        <f t="shared" si="0"/>
        <v>43</v>
      </c>
      <c r="B45" s="95">
        <f>Carátula!F86</f>
        <v>476305.34139280138</v>
      </c>
      <c r="C45" s="94">
        <f>IF(A45="","",PPMT($H$2/360*30.4,A45,$H$1,-$H$3)+Carátula!M86-Carátula!N86)</f>
        <v>1564.1733029027364</v>
      </c>
      <c r="D45" s="94">
        <f>IF(A45="","",(PMT($H$2/360*30.4,$H$1,-$H$3)-(($H$2/360*30.4)*(B45))+Carátula!M86-Carátula!N86))</f>
        <v>3686.9349023250211</v>
      </c>
      <c r="E45" s="94">
        <f>IF(A45="","",PPMT($H$2/360*30.4,1,$H$1-A45+1,-B45)+Carátula!M86-Carátula!N86)</f>
        <v>1000.9718937500044</v>
      </c>
    </row>
    <row r="46" spans="1:5" x14ac:dyDescent="0.25">
      <c r="A46" s="2">
        <f t="shared" si="0"/>
        <v>44</v>
      </c>
      <c r="B46" s="95">
        <f>Carátula!F87</f>
        <v>472618.40649047634</v>
      </c>
      <c r="C46" s="94">
        <f>IF(A46="","",PPMT($H$2/360*30.4,A46,$H$1,-$H$3)+Carátula!M87-Carátula!N87)</f>
        <v>1576.5629458379949</v>
      </c>
      <c r="D46" s="94">
        <f>IF(A46="","",(PMT($H$2/360*30.4,$H$1,-$H$3)-(($H$2/360*30.4)*(B46))+Carátula!M87-Carátula!N87))</f>
        <v>3716.1387040269042</v>
      </c>
      <c r="E46" s="94">
        <f>IF(A46="","",PPMT($H$2/360*30.4,1,$H$1-A46+1,-B46)+Carátula!M87-Carátula!N87)</f>
        <v>1003.19914604109</v>
      </c>
    </row>
    <row r="47" spans="1:5" x14ac:dyDescent="0.25">
      <c r="A47" s="2">
        <f t="shared" si="0"/>
        <v>45</v>
      </c>
      <c r="B47" s="95">
        <f>Carátula!F88</f>
        <v>468902.2677864494</v>
      </c>
      <c r="C47" s="94">
        <f>IF(A47="","",PPMT($H$2/360*30.4,A47,$H$1,-$H$3)+Carátula!M88-Carátula!N88)</f>
        <v>1589.0507257583174</v>
      </c>
      <c r="D47" s="94">
        <f>IF(A47="","",(PMT($H$2/360*30.4,$H$1,-$H$3)-(($H$2/360*30.4)*(B47))+Carátula!M88-Carátula!N88))</f>
        <v>3745.5738257972012</v>
      </c>
      <c r="E47" s="94">
        <f>IF(A47="","",PPMT($H$2/360*30.4,1,$H$1-A47+1,-B47)+Carátula!M88-Carátula!N88)</f>
        <v>1005.3288189620304</v>
      </c>
    </row>
    <row r="48" spans="1:5" x14ac:dyDescent="0.25">
      <c r="A48" s="2">
        <f t="shared" si="0"/>
        <v>46</v>
      </c>
      <c r="B48" s="95">
        <f>Carátula!F89</f>
        <v>465156.69396065222</v>
      </c>
      <c r="C48" s="94">
        <f>IF(A48="","",PPMT($H$2/360*30.4,A48,$H$1,-$H$3)+Carátula!M89-Carátula!N89)</f>
        <v>1601.6374199958568</v>
      </c>
      <c r="D48" s="94">
        <f>IF(A48="","",(PMT($H$2/360*30.4,$H$1,-$H$3)-(($H$2/360*30.4)*(B48))+Carátula!M89-Carátula!N89))</f>
        <v>3775.2420998964712</v>
      </c>
      <c r="E48" s="94">
        <f>IF(A48="","",PPMT($H$2/360*30.4,1,$H$1-A48+1,-B48)+Carátula!M89-Carátula!N89)</f>
        <v>1007.3575584648709</v>
      </c>
    </row>
    <row r="49" spans="1:5" x14ac:dyDescent="0.25">
      <c r="A49" s="2">
        <f t="shared" si="0"/>
        <v>47</v>
      </c>
      <c r="B49" s="95">
        <f>Carátula!F90</f>
        <v>461381.45186075574</v>
      </c>
      <c r="C49" s="94">
        <f>IF(A49="","",PPMT($H$2/360*30.4,A49,$H$1,-$H$3)+Carátula!M90-Carátula!N90)</f>
        <v>1614.3238120399312</v>
      </c>
      <c r="D49" s="94">
        <f>IF(A49="","",(PMT($H$2/360*30.4,$H$1,-$H$3)-(($H$2/360*30.4)*(B49))+Carátula!M90-Carátula!N90))</f>
        <v>3805.1453730984067</v>
      </c>
      <c r="E49" s="94">
        <f>IF(A49="","",PPMT($H$2/360*30.4,1,$H$1-A49+1,-B49)+Carátula!M90-Carátula!N90)</f>
        <v>1009.281918376638</v>
      </c>
    </row>
    <row r="50" spans="1:5" x14ac:dyDescent="0.25">
      <c r="A50" s="2">
        <f t="shared" si="0"/>
        <v>48</v>
      </c>
      <c r="B50" s="95">
        <f>Carátula!F91</f>
        <v>457576.30648765736</v>
      </c>
      <c r="C50" s="94">
        <f>IF(A50="","",PPMT($H$2/360*30.4,A50,$H$1,-$H$3)+Carátula!M91-Carátula!N91)</f>
        <v>1627.1106915857868</v>
      </c>
      <c r="D50" s="94">
        <f>IF(A50="","",(PMT($H$2/360*30.4,$H$1,-$H$3)-(($H$2/360*30.4)*(B50))+Carátula!M91-Carátula!N91))</f>
        <v>3835.2855068047888</v>
      </c>
      <c r="E50" s="94">
        <f>IF(A50="","",PPMT($H$2/360*30.4,1,$H$1-A50+1,-B50)+Carátula!M91-Carátula!N91)</f>
        <v>1011.0983577559041</v>
      </c>
    </row>
    <row r="51" spans="1:5" x14ac:dyDescent="0.25">
      <c r="A51" s="2">
        <f t="shared" si="0"/>
        <v>49</v>
      </c>
      <c r="B51" s="95">
        <f>Carátula!F92</f>
        <v>453741.0209808526</v>
      </c>
      <c r="C51" s="94">
        <f>IF(A51="","",PPMT($H$2/360*30.4,A51,$H$1,-$H$3)+Carátula!M92-Carátula!N92)</f>
        <v>1639.9988545837607</v>
      </c>
      <c r="D51" s="94">
        <f>IF(A51="","",(PMT($H$2/360*30.4,$H$1,-$H$3)-(($H$2/360*30.4)*(B51))+Carátula!M92-Carátula!N92))</f>
        <v>3865.6643771613553</v>
      </c>
      <c r="E51" s="94">
        <f>IF(A51="","",PPMT($H$2/360*30.4,1,$H$1-A51+1,-B51)+Carátula!M92-Carátula!N92)</f>
        <v>1012.803238164071</v>
      </c>
    </row>
    <row r="52" spans="1:5" x14ac:dyDescent="0.25">
      <c r="A52" s="2">
        <f t="shared" si="0"/>
        <v>50</v>
      </c>
      <c r="B52" s="95">
        <f>Carátula!F93</f>
        <v>449875.35660369124</v>
      </c>
      <c r="C52" s="94">
        <f>IF(A52="","",PPMT($H$2/360*30.4,A52,$H$1,-$H$3)+Carátula!M93-Carátula!N93)</f>
        <v>1652.989103288824</v>
      </c>
      <c r="D52" s="94">
        <f>IF(A52="","",(PMT($H$2/360*30.4,$H$1,-$H$3)-(($H$2/360*30.4)*(B52))+Carátula!M93-Carátula!N93))</f>
        <v>3896.2838751745862</v>
      </c>
      <c r="E52" s="94">
        <f>IF(A52="","",PPMT($H$2/360*30.4,1,$H$1-A52+1,-B52)+Carátula!M93-Carátula!N93)</f>
        <v>1014.3928208482129</v>
      </c>
    </row>
    <row r="53" spans="1:5" x14ac:dyDescent="0.25">
      <c r="A53" s="2">
        <f t="shared" si="0"/>
        <v>51</v>
      </c>
      <c r="B53" s="95">
        <f>Carátula!F94</f>
        <v>445979.07272851665</v>
      </c>
      <c r="C53" s="94">
        <f>IF(A53="","",PPMT($H$2/360*30.4,A53,$H$1,-$H$3)+Carátula!M94-Carátula!N94)</f>
        <v>1666.0822463105187</v>
      </c>
      <c r="D53" s="94">
        <f>IF(A53="","",(PMT($H$2/360*30.4,$H$1,-$H$3)-(($H$2/360*30.4)*(B53))+Carátula!M94-Carátula!N94))</f>
        <v>3927.1459068294134</v>
      </c>
      <c r="E53" s="94">
        <f>IF(A53="","",PPMT($H$2/360*30.4,1,$H$1-A53+1,-B53)+Carátula!M94-Carátula!N94)</f>
        <v>1015.8632638321952</v>
      </c>
    </row>
    <row r="54" spans="1:5" x14ac:dyDescent="0.25">
      <c r="A54" s="2">
        <f t="shared" si="0"/>
        <v>52</v>
      </c>
      <c r="B54" s="95">
        <f>Carátula!F95</f>
        <v>442051.92682168726</v>
      </c>
      <c r="C54" s="94">
        <f>IF(A54="","",PPMT($H$2/360*30.4,A54,$H$1,-$H$3)+Carátula!M95-Carátula!N95)</f>
        <v>1679.2790986632949</v>
      </c>
      <c r="D54" s="94">
        <f>IF(A54="","",(PMT($H$2/360*30.4,$H$1,-$H$3)-(($H$2/360*30.4)*(B54))+Carátula!M95-Carátula!N95))</f>
        <v>3958.2523932078639</v>
      </c>
      <c r="E54" s="94">
        <f>IF(A54="","",PPMT($H$2/360*30.4,1,$H$1-A54+1,-B54)+Carátula!M95-Carátula!N95)</f>
        <v>1017.2106189126491</v>
      </c>
    </row>
    <row r="55" spans="1:5" x14ac:dyDescent="0.25">
      <c r="A55" s="2">
        <f t="shared" si="0"/>
        <v>53</v>
      </c>
      <c r="B55" s="95">
        <f>Carátula!F96</f>
        <v>438093.6744284794</v>
      </c>
      <c r="C55" s="94">
        <f>IF(A55="","",PPMT($H$2/360*30.4,A55,$H$1,-$H$3)+Carátula!M96-Carátula!N96)</f>
        <v>1692.5804818172403</v>
      </c>
      <c r="D55" s="94">
        <f>IF(A55="","",(PMT($H$2/360*30.4,$H$1,-$H$3)-(($H$2/360*30.4)*(B55))+Carátula!M96-Carátula!N96))</f>
        <v>3989.6052706086421</v>
      </c>
      <c r="E55" s="94">
        <f>IF(A55="","",PPMT($H$2/360*30.4,1,$H$1-A55+1,-B55)+Carátula!M96-Carátula!N96)</f>
        <v>1018.4308285562233</v>
      </c>
    </row>
    <row r="56" spans="1:5" x14ac:dyDescent="0.25">
      <c r="A56" s="2">
        <f t="shared" si="0"/>
        <v>54</v>
      </c>
      <c r="B56" s="95">
        <f>Carátula!F97</f>
        <v>434104.06915787078</v>
      </c>
      <c r="C56" s="94">
        <f>IF(A56="","",PPMT($H$2/360*30.4,A56,$H$1,-$H$3)+Carátula!M97-Carátula!N97)</f>
        <v>1705.9872237492168</v>
      </c>
      <c r="D56" s="94">
        <f>IF(A56="","",(PMT($H$2/360*30.4,$H$1,-$H$3)-(($H$2/360*30.4)*(B56))+Carátula!M97-Carátula!N97))</f>
        <v>4021.2064906676583</v>
      </c>
      <c r="E56" s="94">
        <f>IF(A56="","",PPMT($H$2/360*30.4,1,$H$1-A56+1,-B56)+Carátula!M97-Carátula!N97)</f>
        <v>1019.5197226944003</v>
      </c>
    </row>
    <row r="57" spans="1:5" x14ac:dyDescent="0.25">
      <c r="A57" s="2">
        <f t="shared" si="0"/>
        <v>55</v>
      </c>
      <c r="B57" s="95">
        <f>Carátula!F98</f>
        <v>430082.86266720312</v>
      </c>
      <c r="C57" s="94">
        <f>IF(A57="","",PPMT($H$2/360*30.4,A57,$H$1,-$H$3)+Carátula!M98-Carátula!N98)</f>
        <v>1719.5001589943979</v>
      </c>
      <c r="D57" s="94">
        <f>IF(A57="","",(PMT($H$2/360*30.4,$H$1,-$H$3)-(($H$2/360*30.4)*(B57))+Carátula!M98-Carátula!N98))</f>
        <v>4053.0580204795156</v>
      </c>
      <c r="E57" s="94">
        <f>IF(A57="","",PPMT($H$2/360*30.4,1,$H$1-A57+1,-B57)+Carátula!M98-Carátula!N98)</f>
        <v>1020.4730154119826</v>
      </c>
    </row>
    <row r="58" spans="1:5" x14ac:dyDescent="0.25">
      <c r="A58" s="2">
        <f t="shared" si="0"/>
        <v>56</v>
      </c>
      <c r="B58" s="95">
        <f>Carátula!F99</f>
        <v>426029.80464672361</v>
      </c>
      <c r="C58" s="94">
        <f>IF(A58="","",PPMT($H$2/360*30.4,A58,$H$1,-$H$3)+Carátula!M99-Carátula!N99)</f>
        <v>1733.1201286982196</v>
      </c>
      <c r="D58" s="94">
        <f>IF(A58="","",(PMT($H$2/360*30.4,$H$1,-$H$3)-(($H$2/360*30.4)*(B58))+Carátula!M99-Carátula!N99))</f>
        <v>4085.1618427199537</v>
      </c>
      <c r="E58" s="94">
        <f>IF(A58="","",PPMT($H$2/360*30.4,1,$H$1-A58+1,-B58)+Carátula!M99-Carátula!N99)</f>
        <v>1021.286301525205</v>
      </c>
    </row>
    <row r="59" spans="1:5" x14ac:dyDescent="0.25">
      <c r="A59" s="2">
        <f t="shared" si="0"/>
        <v>57</v>
      </c>
      <c r="B59" s="95">
        <f>Carátula!F100</f>
        <v>421944.64280400367</v>
      </c>
      <c r="C59" s="94">
        <f>IF(A59="","",PPMT($H$2/360*30.4,A59,$H$1,-$H$3)+Carátula!M100-Carátula!N100)</f>
        <v>1746.8479806687349</v>
      </c>
      <c r="D59" s="94">
        <f>IF(A59="","",(PMT($H$2/360*30.4,$H$1,-$H$3)-(($H$2/360*30.4)*(B59))+Carátula!M100-Carátula!N100))</f>
        <v>4117.5199557692667</v>
      </c>
      <c r="E59" s="94">
        <f>IF(A59="","",PPMT($H$2/360*30.4,1,$H$1-A59+1,-B59)+Carátula!M100-Carátula!N100)</f>
        <v>1021.9550530452389</v>
      </c>
    </row>
    <row r="60" spans="1:5" x14ac:dyDescent="0.25">
      <c r="A60" s="2">
        <f t="shared" si="0"/>
        <v>58</v>
      </c>
      <c r="B60" s="95">
        <f>Carátula!F101</f>
        <v>417827.12284823443</v>
      </c>
      <c r="C60" s="94">
        <f>IF(A60="","",PPMT($H$2/360*30.4,A60,$H$1,-$H$3)+Carátula!M101-Carátula!N101)</f>
        <v>1760.684569429392</v>
      </c>
      <c r="D60" s="94">
        <f>IF(A60="","",(PMT($H$2/360*30.4,$H$1,-$H$3)-(($H$2/360*30.4)*(B60))+Carátula!M101-Carátula!N101))</f>
        <v>4150.1343738366977</v>
      </c>
      <c r="E60" s="94">
        <f>IF(A60="","",PPMT($H$2/360*30.4,1,$H$1-A60+1,-B60)+Carátula!M101-Carátula!N101)</f>
        <v>1022.4746155226825</v>
      </c>
    </row>
    <row r="61" spans="1:5" x14ac:dyDescent="0.25">
      <c r="A61" s="2">
        <f t="shared" si="0"/>
        <v>59</v>
      </c>
      <c r="B61" s="95">
        <f>Carátula!F102</f>
        <v>413676.98847439775</v>
      </c>
      <c r="C61" s="94">
        <f>IF(A61="","",PPMT($H$2/360*30.4,A61,$H$1,-$H$3)+Carátula!M102-Carátula!N102)</f>
        <v>1774.6307562722234</v>
      </c>
      <c r="D61" s="94">
        <f>IF(A61="","",(PMT($H$2/360*30.4,$H$1,-$H$3)-(($H$2/360*30.4)*(B61))+Carátula!M102-Carátula!N102))</f>
        <v>4183.007127085817</v>
      </c>
      <c r="E61" s="94">
        <f>IF(A61="","",PPMT($H$2/360*30.4,1,$H$1-A61+1,-B61)+Carátula!M102-Carátula!N102)</f>
        <v>1022.840204268419</v>
      </c>
    </row>
    <row r="62" spans="1:5" x14ac:dyDescent="0.25">
      <c r="A62" s="2">
        <f t="shared" si="0"/>
        <v>60</v>
      </c>
      <c r="B62" s="95">
        <f>Carátula!F103</f>
        <v>409493.98134731193</v>
      </c>
      <c r="C62" s="94">
        <f>IF(A62="","",PPMT($H$2/360*30.4,A62,$H$1,-$H$3)+Carátula!M103-Carátula!N103)</f>
        <v>1788.6874093114607</v>
      </c>
      <c r="D62" s="94">
        <f>IF(A62="","",(PMT($H$2/360*30.4,$H$1,-$H$3)-(($H$2/360*30.4)*(B62))+Carátula!M103-Carátula!N103))</f>
        <v>4216.1402617608937</v>
      </c>
      <c r="E62" s="94">
        <f>IF(A62="","",PPMT($H$2/360*30.4,1,$H$1-A62+1,-B62)+Carátula!M103-Carátula!N103)</f>
        <v>1023.0469004460405</v>
      </c>
    </row>
    <row r="63" spans="1:5" x14ac:dyDescent="0.25">
      <c r="A63" s="2">
        <f t="shared" si="0"/>
        <v>61</v>
      </c>
      <c r="B63" s="95">
        <f>Carátula!F104</f>
        <v>405277.84108555102</v>
      </c>
      <c r="C63" s="94">
        <f>IF(A63="","",PPMT($H$2/360*30.4,A63,$H$1,-$H$3)+Carátula!M104-Carátula!N104)</f>
        <v>1802.855403537571</v>
      </c>
      <c r="D63" s="94">
        <f>IF(A63="","",(PMT($H$2/360*30.4,$H$1,-$H$3)-(($H$2/360*30.4)*(B63))+Carátula!M104-Carátula!N104))</f>
        <v>4249.5358403142727</v>
      </c>
      <c r="E63" s="94">
        <f>IF(A63="","",PPMT($H$2/360*30.4,1,$H$1-A63+1,-B63)+Carátula!M104-Carátula!N104)</f>
        <v>1023.0896470308038</v>
      </c>
    </row>
    <row r="64" spans="1:5" x14ac:dyDescent="0.25">
      <c r="A64" s="2">
        <f t="shared" si="0"/>
        <v>62</v>
      </c>
      <c r="B64" s="95">
        <f>Carátula!F105</f>
        <v>401028.30524523673</v>
      </c>
      <c r="C64" s="94">
        <f>IF(A64="","",PPMT($H$2/360*30.4,A64,$H$1,-$H$3)+Carátula!M105-Carátula!N105)</f>
        <v>1817.1356208717255</v>
      </c>
      <c r="D64" s="94">
        <f>IF(A64="","",(PMT($H$2/360*30.4,$H$1,-$H$3)-(($H$2/360*30.4)*(B64))+Carátula!M105-Carátula!N105))</f>
        <v>4283.1959415347537</v>
      </c>
      <c r="E64" s="94">
        <f>IF(A64="","",PPMT($H$2/360*30.4,1,$H$1-A64+1,-B64)+Carátula!M105-Carátula!N105)</f>
        <v>1022.9632446298782</v>
      </c>
    </row>
    <row r="65" spans="1:5" x14ac:dyDescent="0.25">
      <c r="A65" s="2">
        <f t="shared" si="0"/>
        <v>63</v>
      </c>
      <c r="B65" s="95">
        <f>Carátula!F106</f>
        <v>396745.10930370196</v>
      </c>
      <c r="C65" s="94">
        <f>IF(A65="","",PPMT($H$2/360*30.4,A65,$H$1,-$H$3)+Carátula!M106-Carátula!N106)</f>
        <v>1831.528950220692</v>
      </c>
      <c r="D65" s="94">
        <f>IF(A65="","",(PMT($H$2/360*30.4,$H$1,-$H$3)-(($H$2/360*30.4)*(B65))+Carátula!M106-Carátula!N106))</f>
        <v>4317.1226606769906</v>
      </c>
      <c r="E65" s="94">
        <f>IF(A65="","",PPMT($H$2/360*30.4,1,$H$1-A65+1,-B65)+Carátula!M106-Carátula!N106)</f>
        <v>1022.6623471583808</v>
      </c>
    </row>
    <row r="66" spans="1:5" x14ac:dyDescent="0.25">
      <c r="A66" s="2">
        <f t="shared" si="0"/>
        <v>64</v>
      </c>
      <c r="B66" s="95">
        <f>Carátula!F107</f>
        <v>392427.98664302495</v>
      </c>
      <c r="C66" s="94">
        <f>IF(A66="","",PPMT($H$2/360*30.4,A66,$H$1,-$H$3)+Carátula!M107-Carátula!N107)</f>
        <v>1846.0362875321737</v>
      </c>
      <c r="D66" s="94">
        <f>IF(A66="","",(PMT($H$2/360*30.4,$H$1,-$H$3)-(($H$2/360*30.4)*(B66))+Carátula!M107-Carátula!N107))</f>
        <v>4351.3181095919172</v>
      </c>
      <c r="E66" s="94">
        <f>IF(A66="","",PPMT($H$2/360*30.4,1,$H$1-A66+1,-B66)+Carátula!M107-Carátula!N107)</f>
        <v>1022.1814573654866</v>
      </c>
    </row>
    <row r="67" spans="1:5" x14ac:dyDescent="0.25">
      <c r="A67" s="2">
        <f t="shared" si="0"/>
        <v>65</v>
      </c>
      <c r="B67" s="95">
        <f>Carátula!F108</f>
        <v>388076.66853343305</v>
      </c>
      <c r="C67" s="94">
        <f>IF(A67="","",PPMT($H$2/360*30.4,A67,$H$1,-$H$3)+Carátula!M108-Carátula!N108)</f>
        <v>1860.6585358505729</v>
      </c>
      <c r="D67" s="94">
        <f>IF(A67="","",(PMT($H$2/360*30.4,$H$1,-$H$3)-(($H$2/360*30.4)*(B67))+Carátula!M108-Carátula!N108))</f>
        <v>4385.7844168582051</v>
      </c>
      <c r="E67" s="94">
        <f>IF(A67="","",PPMT($H$2/360*30.4,1,$H$1-A67+1,-B67)+Carátula!M108-Carátula!N108)</f>
        <v>1021.5149222045942</v>
      </c>
    </row>
    <row r="68" spans="1:5" x14ac:dyDescent="0.25">
      <c r="A68" s="2">
        <f t="shared" si="0"/>
        <v>66</v>
      </c>
      <c r="B68" s="95">
        <f>Carátula!F109</f>
        <v>383690.88411657483</v>
      </c>
      <c r="C68" s="94">
        <f>IF(A68="","",PPMT($H$2/360*30.4,A68,$H$1,-$H$3)+Carátula!M109-Carátula!N109)</f>
        <v>1875.3966053732081</v>
      </c>
      <c r="D68" s="94">
        <f>IF(A68="","",(PMT($H$2/360*30.4,$H$1,-$H$3)-(($H$2/360*30.4)*(B68))+Carátula!M109-Carátula!N109))</f>
        <v>4420.5237279147586</v>
      </c>
      <c r="E68" s="94">
        <f>IF(A68="","",PPMT($H$2/360*30.4,1,$H$1-A68+1,-B68)+Carátula!M109-Carátula!N109)</f>
        <v>1020.6569280412941</v>
      </c>
    </row>
    <row r="69" spans="1:5" x14ac:dyDescent="0.25">
      <c r="A69" s="2">
        <f t="shared" ref="A69:A132" si="1">IF(A68=$H$1,"",IF(A68="","",A68+1))</f>
        <v>67</v>
      </c>
      <c r="B69" s="95">
        <f>Carátula!F110</f>
        <v>379270.36038866005</v>
      </c>
      <c r="C69" s="94">
        <f>IF(A69="","",PPMT($H$2/360*30.4,A69,$H$1,-$H$3)+Carátula!M110-Carátula!N110)</f>
        <v>1890.2514135069684</v>
      </c>
      <c r="D69" s="94">
        <f>IF(A69="","",(PMT($H$2/360*30.4,$H$1,-$H$3)-(($H$2/360*30.4)*(B69))+Carátula!M110-Carátula!N110))</f>
        <v>4455.5382051942688</v>
      </c>
      <c r="E69" s="94">
        <f>IF(A69="","",PPMT($H$2/360*30.4,1,$H$1-A69+1,-B69)+Carátula!M110-Carátula!N110)</f>
        <v>1019.601495692569</v>
      </c>
    </row>
    <row r="70" spans="1:5" x14ac:dyDescent="0.25">
      <c r="A70" s="2">
        <f t="shared" si="1"/>
        <v>68</v>
      </c>
      <c r="B70" s="95">
        <f>Carátula!F111</f>
        <v>374814.82218346576</v>
      </c>
      <c r="C70" s="94">
        <f>IF(A70="","",PPMT($H$2/360*30.4,A70,$H$1,-$H$3)+Carátula!M111-Carátula!N111)</f>
        <v>1905.2238849254227</v>
      </c>
      <c r="D70" s="94">
        <f>IF(A70="","",(PMT($H$2/360*30.4,$H$1,-$H$3)-(($H$2/360*30.4)*(B70))+Carátula!M111-Carátula!N111))</f>
        <v>4490.830028257812</v>
      </c>
      <c r="E70" s="94">
        <f>IF(A70="","",PPMT($H$2/360*30.4,1,$H$1-A70+1,-B70)+Carátula!M111-Carátula!N111)</f>
        <v>1018.3424752903713</v>
      </c>
    </row>
    <row r="71" spans="1:5" x14ac:dyDescent="0.25">
      <c r="A71" s="2">
        <f t="shared" si="1"/>
        <v>69</v>
      </c>
      <c r="B71" s="95">
        <f>Carátula!F112</f>
        <v>370323.99215520796</v>
      </c>
      <c r="C71" s="94">
        <f>IF(A71="","",PPMT($H$2/360*30.4,A71,$H$1,-$H$3)+Carátula!M112-Carátula!N112)</f>
        <v>1920.3149516263738</v>
      </c>
      <c r="D71" s="94">
        <f>IF(A71="","",(PMT($H$2/360*30.4,$H$1,-$H$3)-(($H$2/360*30.4)*(B71))+Carátula!M112-Carátula!N112))</f>
        <v>4526.4013939305278</v>
      </c>
      <c r="E71" s="94">
        <f>IF(A71="","",PPMT($H$2/360*30.4,1,$H$1-A71+1,-B71)+Carátula!M112-Carátula!N112)</f>
        <v>1016.8735409623853</v>
      </c>
    </row>
    <row r="72" spans="1:5" x14ac:dyDescent="0.25">
      <c r="A72" s="2">
        <f t="shared" si="1"/>
        <v>70</v>
      </c>
      <c r="B72" s="95">
        <f>Carátula!F113</f>
        <v>365797.59076127742</v>
      </c>
      <c r="C72" s="94">
        <f>IF(A72="","",PPMT($H$2/360*30.4,A72,$H$1,-$H$3)+Carátula!M113-Carátula!N113)</f>
        <v>1935.5255529898786</v>
      </c>
      <c r="D72" s="94">
        <f>IF(A72="","",(PMT($H$2/360*30.4,$H$1,-$H$3)-(($H$2/360*30.4)*(B72))+Carátula!M113-Carátula!N113))</f>
        <v>4562.2545164383637</v>
      </c>
      <c r="E72" s="94">
        <f>IF(A72="","",PPMT($H$2/360*30.4,1,$H$1-A72+1,-B72)+Carátula!M113-Carátula!N113)</f>
        <v>1015.1881853224673</v>
      </c>
    </row>
    <row r="73" spans="1:5" x14ac:dyDescent="0.25">
      <c r="A73" s="2">
        <f t="shared" si="1"/>
        <v>71</v>
      </c>
      <c r="B73" s="95">
        <f>Carátula!F114</f>
        <v>361235.33624483907</v>
      </c>
      <c r="C73" s="94">
        <f>IF(A73="","",PPMT($H$2/360*30.4,A73,$H$1,-$H$3)+Carátula!M114-Carátula!N114)</f>
        <v>1950.8566358367164</v>
      </c>
      <c r="D73" s="94">
        <f>IF(A73="","",(PMT($H$2/360*30.4,$H$1,-$H$3)-(($H$2/360*30.4)*(B73))+Carátula!M114-Carátula!N114))</f>
        <v>4598.3916275459032</v>
      </c>
      <c r="E73" s="94">
        <f>IF(A73="","",PPMT($H$2/360*30.4,1,$H$1-A73+1,-B73)+Carátula!M114-Carátula!N114)</f>
        <v>1013.2797137628794</v>
      </c>
    </row>
    <row r="74" spans="1:5" x14ac:dyDescent="0.25">
      <c r="A74" s="2">
        <f t="shared" si="1"/>
        <v>72</v>
      </c>
      <c r="B74" s="95">
        <f>Carátula!F115</f>
        <v>356636.94461729319</v>
      </c>
      <c r="C74" s="94">
        <f>IF(A74="","",PPMT($H$2/360*30.4,A74,$H$1,-$H$3)+Carátula!M115-Carátula!N115)</f>
        <v>1966.3091544873305</v>
      </c>
      <c r="D74" s="94">
        <f>IF(A74="","",(PMT($H$2/360*30.4,$H$1,-$H$3)-(($H$2/360*30.4)*(B74))+Carátula!M115-Carátula!N115))</f>
        <v>4634.8149766952911</v>
      </c>
      <c r="E74" s="94">
        <f>IF(A74="","",PPMT($H$2/360*30.4,1,$H$1-A74+1,-B74)+Carátula!M115-Carátula!N115)</f>
        <v>1011.1412385400777</v>
      </c>
    </row>
    <row r="75" spans="1:5" x14ac:dyDescent="0.25">
      <c r="A75" s="2">
        <f t="shared" si="1"/>
        <v>73</v>
      </c>
      <c r="B75" s="95">
        <f>Carátula!F116</f>
        <v>352002.12964059791</v>
      </c>
      <c r="C75" s="94">
        <f>IF(A75="","",PPMT($H$2/360*30.4,A75,$H$1,-$H$3)+Carátula!M116-Carátula!N116)</f>
        <v>1981.8840708212297</v>
      </c>
      <c r="D75" s="94">
        <f>IF(A75="","",(PMT($H$2/360*30.4,$H$1,-$H$3)-(($H$2/360*30.4)*(B75))+Carátula!M116-Carátula!N116))</f>
        <v>4671.5268311462523</v>
      </c>
      <c r="E75" s="94">
        <f>IF(A75="","",PPMT($H$2/360*30.4,1,$H$1-A75+1,-B75)+Carátula!M116-Carátula!N116)</f>
        <v>1008.7656726454138</v>
      </c>
    </row>
    <row r="76" spans="1:5" x14ac:dyDescent="0.25">
      <c r="A76" s="2">
        <f t="shared" si="1"/>
        <v>74</v>
      </c>
      <c r="B76" s="95">
        <f>Carátula!F117</f>
        <v>347330.60280945164</v>
      </c>
      <c r="C76" s="94">
        <f>IF(A76="","",PPMT($H$2/360*30.4,A76,$H$1,-$H$3)+Carátula!M117-Carátula!N117)</f>
        <v>1997.5823543368635</v>
      </c>
      <c r="D76" s="94">
        <f>IF(A76="","",(PMT($H$2/360*30.4,$H$1,-$H$3)-(($H$2/360*30.4)*(B76))+Carátula!M117-Carátula!N117))</f>
        <v>4708.5294761172254</v>
      </c>
      <c r="E76" s="94">
        <f>IF(A76="","",PPMT($H$2/360*30.4,1,$H$1-A76+1,-B76)+Carátula!M117-Carátula!N117)</f>
        <v>1006.1457234516946</v>
      </c>
    </row>
    <row r="77" spans="1:5" x14ac:dyDescent="0.25">
      <c r="A77" s="2">
        <f t="shared" si="1"/>
        <v>75</v>
      </c>
      <c r="B77" s="95">
        <f>Carátula!F118</f>
        <v>342622.07333333441</v>
      </c>
      <c r="C77" s="94">
        <f>IF(A77="","",PPMT($H$2/360*30.4,A77,$H$1,-$H$3)+Carátula!M118-Carátula!N118)</f>
        <v>2013.4049822119712</v>
      </c>
      <c r="D77" s="94">
        <f>IF(A77="","",(PMT($H$2/360*30.4,$H$1,-$H$3)-(($H$2/360*30.4)*(B77))+Carátula!M118-Carátula!N118))</f>
        <v>4745.8252149276086</v>
      </c>
      <c r="E77" s="94">
        <f>IF(A77="","",PPMT($H$2/360*30.4,1,$H$1-A77+1,-B77)+Carátula!M118-Carátula!N118)</f>
        <v>1003.273886126115</v>
      </c>
    </row>
    <row r="78" spans="1:5" x14ac:dyDescent="0.25">
      <c r="A78" s="2">
        <f t="shared" si="1"/>
        <v>76</v>
      </c>
      <c r="B78" s="95">
        <f>Carátula!F119</f>
        <v>337876.2481184068</v>
      </c>
      <c r="C78" s="94">
        <f>IF(A78="","",PPMT($H$2/360*30.4,A78,$H$1,-$H$3)+Carátula!M119-Carátula!N119)</f>
        <v>2029.3529393644073</v>
      </c>
      <c r="D78" s="94">
        <f>IF(A78="","",(PMT($H$2/360*30.4,$H$1,-$H$3)-(($H$2/360*30.4)*(B78))+Carátula!M119-Carátula!N119))</f>
        <v>4783.4163691411368</v>
      </c>
      <c r="E78" s="94">
        <f>IF(A78="","",PPMT($H$2/360*30.4,1,$H$1-A78+1,-B78)+Carátula!M119-Carátula!N119)</f>
        <v>1000.1424367996043</v>
      </c>
    </row>
    <row r="79" spans="1:5" x14ac:dyDescent="0.25">
      <c r="A79" s="2">
        <f t="shared" si="1"/>
        <v>77</v>
      </c>
      <c r="B79" s="95">
        <f>Carátula!F120</f>
        <v>333092.83174926566</v>
      </c>
      <c r="C79" s="94">
        <f>IF(A79="","",PPMT($H$2/360*30.4,A79,$H$1,-$H$3)+Carátula!M120-Carátula!N120)</f>
        <v>2045.427218513453</v>
      </c>
      <c r="D79" s="94">
        <f>IF(A79="","",(PMT($H$2/360*30.4,$H$1,-$H$3)-(($H$2/360*30.4)*(B79))+Carátula!M120-Carátula!N120))</f>
        <v>4821.3052787103961</v>
      </c>
      <c r="E79" s="94">
        <f>IF(A79="","",PPMT($H$2/360*30.4,1,$H$1-A79+1,-B79)+Carátula!M120-Carátula!N120)</f>
        <v>996.74342548216441</v>
      </c>
    </row>
    <row r="80" spans="1:5" x14ac:dyDescent="0.25">
      <c r="A80" s="2">
        <f t="shared" si="1"/>
        <v>78</v>
      </c>
      <c r="B80" s="95">
        <f>Carátula!F121</f>
        <v>328271.52647055528</v>
      </c>
      <c r="C80" s="94">
        <f>IF(A80="","",PPMT($H$2/360*30.4,A80,$H$1,-$H$3)+Carátula!M121-Carátula!N121)</f>
        <v>2061.6288202416067</v>
      </c>
      <c r="D80" s="94">
        <f>IF(A80="","",(PMT($H$2/360*30.4,$H$1,-$H$3)-(($H$2/360*30.4)*(B80))+Carátula!M121-Carátula!N121))</f>
        <v>4859.4943021224744</v>
      </c>
      <c r="E80" s="94">
        <f>IF(A80="","",PPMT($H$2/360*30.4,1,$H$1-A80+1,-B80)+Carátula!M121-Carátula!N121)</f>
        <v>993.0686687132328</v>
      </c>
    </row>
    <row r="81" spans="1:5" x14ac:dyDescent="0.25">
      <c r="A81" s="2">
        <f t="shared" si="1"/>
        <v>79</v>
      </c>
      <c r="B81" s="95">
        <f>Carátula!F122</f>
        <v>323412.03216843284</v>
      </c>
      <c r="C81" s="94">
        <f>IF(A81="","",PPMT($H$2/360*30.4,A81,$H$1,-$H$3)+Carátula!M122-Carátula!N122)</f>
        <v>2077.958753056872</v>
      </c>
      <c r="D81" s="94">
        <f>IF(A81="","",(PMT($H$2/360*30.4,$H$1,-$H$3)-(($H$2/360*30.4)*(B81))+Carátula!M122-Carátula!N122))</f>
        <v>4897.9858165457754</v>
      </c>
      <c r="E81" s="94">
        <f>IF(A81="","",PPMT($H$2/360*30.4,1,$H$1-A81+1,-B81)+Carátula!M122-Carátula!N122)</f>
        <v>989.10974193559707</v>
      </c>
    </row>
    <row r="82" spans="1:5" x14ac:dyDescent="0.25">
      <c r="A82" s="2">
        <f t="shared" si="1"/>
        <v>80</v>
      </c>
      <c r="B82" s="95">
        <f>Carátula!F123</f>
        <v>318514.04635188705</v>
      </c>
      <c r="C82" s="94">
        <f>IF(A82="","",PPMT($H$2/360*30.4,A82,$H$1,-$H$3)+Carátula!M123-Carátula!N123)</f>
        <v>2094.4180334555294</v>
      </c>
      <c r="D82" s="94">
        <f>IF(A82="","",(PMT($H$2/360*30.4,$H$1,-$H$3)-(($H$2/360*30.4)*(B82))+Carátula!M123-Carátula!N123))</f>
        <v>4936.7822179779878</v>
      </c>
      <c r="E82" s="94">
        <f>IF(A82="","",PPMT($H$2/360*30.4,1,$H$1-A82+1,-B82)+Carátula!M123-Carátula!N123)</f>
        <v>984.85797158078901</v>
      </c>
    </row>
    <row r="83" spans="1:5" x14ac:dyDescent="0.25">
      <c r="A83" s="2">
        <f t="shared" si="1"/>
        <v>81</v>
      </c>
      <c r="B83" s="95">
        <f>Carátula!F124</f>
        <v>313577.26413390908</v>
      </c>
      <c r="C83" s="94">
        <f>IF(A83="","",PPMT($H$2/360*30.4,A83,$H$1,-$H$3)+Carátula!M124-Carátula!N124)</f>
        <v>2111.0076859854157</v>
      </c>
      <c r="D83" s="94">
        <f>IF(A83="","",(PMT($H$2/360*30.4,$H$1,-$H$3)-(($H$2/360*30.4)*(B83))+Carátula!M124-Carátula!N124))</f>
        <v>4975.8859213952346</v>
      </c>
      <c r="E83" s="94">
        <f>IF(A83="","",PPMT($H$2/360*30.4,1,$H$1-A83+1,-B83)+Carátula!M124-Carátula!N124)</f>
        <v>980.30442685329933</v>
      </c>
    </row>
    <row r="84" spans="1:5" x14ac:dyDescent="0.25">
      <c r="A84" s="2">
        <f t="shared" si="1"/>
        <v>82</v>
      </c>
      <c r="B84" s="95">
        <f>Carátula!F125</f>
        <v>308601.37821251387</v>
      </c>
      <c r="C84" s="94">
        <f>IF(A84="","",PPMT($H$2/360*30.4,A84,$H$1,-$H$3)+Carátula!M125-Carátula!N125)</f>
        <v>2127.7287433096967</v>
      </c>
      <c r="D84" s="94">
        <f>IF(A84="","",(PMT($H$2/360*30.4,$H$1,-$H$3)-(($H$2/360*30.4)*(B84))+Carátula!M125-Carátula!N125))</f>
        <v>5015.2993609023924</v>
      </c>
      <c r="E84" s="94">
        <f>IF(A84="","",PPMT($H$2/360*30.4,1,$H$1-A84+1,-B84)+Carátula!M125-Carátula!N125)</f>
        <v>975.43991120030773</v>
      </c>
    </row>
    <row r="85" spans="1:5" x14ac:dyDescent="0.25">
      <c r="A85" s="2">
        <f t="shared" si="1"/>
        <v>83</v>
      </c>
      <c r="B85" s="95">
        <f>Carátula!F126</f>
        <v>303586.07885161147</v>
      </c>
      <c r="C85" s="94">
        <f>IF(A85="","",PPMT($H$2/360*30.4,A85,$H$1,-$H$3)+Carátula!M126-Carátula!N126)</f>
        <v>2144.5822462711481</v>
      </c>
      <c r="D85" s="94">
        <f>IF(A85="","",(PMT($H$2/360*30.4,$H$1,-$H$3)-(($H$2/360*30.4)*(B85))+Carátula!M126-Carátula!N126))</f>
        <v>5055.0249898846159</v>
      </c>
      <c r="E85" s="94">
        <f>IF(A85="","",PPMT($H$2/360*30.4,1,$H$1-A85+1,-B85)+Carátula!M126-Carátula!N126)</f>
        <v>970.25495345295315</v>
      </c>
    </row>
    <row r="86" spans="1:5" x14ac:dyDescent="0.25">
      <c r="A86" s="2">
        <f t="shared" si="1"/>
        <v>84</v>
      </c>
      <c r="B86" s="95">
        <f>Carátula!F127</f>
        <v>298531.05386172683</v>
      </c>
      <c r="C86" s="94">
        <f>IF(A86="","",PPMT($H$2/360*30.4,A86,$H$1,-$H$3)+Carátula!M127-Carátula!N127)</f>
        <v>2161.5692439569452</v>
      </c>
      <c r="D86" s="94">
        <f>IF(A86="","",(PMT($H$2/360*30.4,$H$1,-$H$3)-(($H$2/360*30.4)*(B86))+Carátula!M127-Carátula!N127))</f>
        <v>5095.0652811600485</v>
      </c>
      <c r="E86" s="94">
        <f>IF(A86="","",PPMT($H$2/360*30.4,1,$H$1-A86+1,-B86)+Carátula!M127-Carátula!N127)</f>
        <v>964.73979862445685</v>
      </c>
    </row>
    <row r="87" spans="1:5" x14ac:dyDescent="0.25">
      <c r="A87" s="2">
        <f t="shared" si="1"/>
        <v>85</v>
      </c>
      <c r="B87" s="95">
        <f>Carátula!F128</f>
        <v>293435.98858056677</v>
      </c>
      <c r="C87" s="94">
        <f>IF(A87="","",PPMT($H$2/360*30.4,A87,$H$1,-$H$3)+Carátula!M128-Carátula!N128)</f>
        <v>2178.6907937639685</v>
      </c>
      <c r="D87" s="94">
        <f>IF(A87="","",(PMT($H$2/360*30.4,$H$1,-$H$3)-(($H$2/360*30.4)*(B87))+Carátula!M128-Carátula!N128))</f>
        <v>5135.4227271337522</v>
      </c>
      <c r="E87" s="94">
        <f>IF(A87="","",PPMT($H$2/360*30.4,1,$H$1-A87+1,-B87)+Carátula!M128-Carátula!N128)</f>
        <v>958.88439834965493</v>
      </c>
    </row>
    <row r="88" spans="1:5" x14ac:dyDescent="0.25">
      <c r="A88" s="2">
        <f t="shared" si="1"/>
        <v>86</v>
      </c>
      <c r="B88" s="95">
        <f>Carátula!F129</f>
        <v>288300.56585343304</v>
      </c>
      <c r="C88" s="94">
        <f>IF(A88="","",PPMT($H$2/360*30.4,A88,$H$1,-$H$3)+Carátula!M129-Carátula!N129)</f>
        <v>2195.9479614646179</v>
      </c>
      <c r="D88" s="94">
        <f>IF(A88="","",(PMT($H$2/360*30.4,$H$1,-$H$3)-(($H$2/360*30.4)*(B88))+Carátula!M129-Carátula!N129))</f>
        <v>5176.0998399528535</v>
      </c>
      <c r="E88" s="94">
        <f>IF(A88="","",PPMT($H$2/360*30.4,1,$H$1-A88+1,-B88)+Carátula!M129-Carátula!N129)</f>
        <v>952.67840094969608</v>
      </c>
    </row>
    <row r="89" spans="1:5" x14ac:dyDescent="0.25">
      <c r="A89" s="2">
        <f t="shared" si="1"/>
        <v>87</v>
      </c>
      <c r="B89" s="95">
        <f>Carátula!F130</f>
        <v>283124.46601348021</v>
      </c>
      <c r="C89" s="94">
        <f>IF(A89="","",PPMT($H$2/360*30.4,A89,$H$1,-$H$3)+Carátula!M130-Carátula!N130)</f>
        <v>2213.3418212731613</v>
      </c>
      <c r="D89" s="94">
        <f>IF(A89="","",(PMT($H$2/360*30.4,$H$1,-$H$3)-(($H$2/360*30.4)*(B89))+Carátula!M130-Carátula!N130))</f>
        <v>5217.0991516629156</v>
      </c>
      <c r="E89" s="94">
        <f>IF(A89="","",PPMT($H$2/360*30.4,1,$H$1-A89+1,-B89)+Carátula!M130-Carátula!N130)</f>
        <v>946.11114110483209</v>
      </c>
    </row>
    <row r="90" spans="1:5" x14ac:dyDescent="0.25">
      <c r="A90" s="2">
        <f t="shared" si="1"/>
        <v>88</v>
      </c>
      <c r="B90" s="95">
        <f>Carátula!F131</f>
        <v>277907.36686181731</v>
      </c>
      <c r="C90" s="94">
        <f>IF(A90="","",PPMT($H$2/360*30.4,A90,$H$1,-$H$3)+Carátula!M131-Carátula!N131)</f>
        <v>2230.8734559125969</v>
      </c>
      <c r="D90" s="94">
        <f>IF(A90="","",(PMT($H$2/360*30.4,$H$1,-$H$3)-(($H$2/360*30.4)*(B90))+Carátula!M131-Carátula!N131))</f>
        <v>5258.4232143655536</v>
      </c>
      <c r="E90" s="94">
        <f>IF(A90="","",PPMT($H$2/360*30.4,1,$H$1-A90+1,-B90)+Carátula!M131-Carátula!N131)</f>
        <v>939.17162911730952</v>
      </c>
    </row>
    <row r="91" spans="1:5" x14ac:dyDescent="0.25">
      <c r="A91" s="2">
        <f t="shared" si="1"/>
        <v>89</v>
      </c>
      <c r="B91" s="95">
        <f>Carátula!F132</f>
        <v>272648.94364745176</v>
      </c>
      <c r="C91" s="94">
        <f>IF(A91="","",PPMT($H$2/360*30.4,A91,$H$1,-$H$3)+Carátula!M132-Carátula!N132)</f>
        <v>2248.5439566820523</v>
      </c>
      <c r="D91" s="94">
        <f>IF(A91="","",(PMT($H$2/360*30.4,$H$1,-$H$3)-(($H$2/360*30.4)*(B91))+Carátula!M132-Carátula!N132))</f>
        <v>5300.0746003772974</v>
      </c>
      <c r="E91" s="94">
        <f>IF(A91="","",PPMT($H$2/360*30.4,1,$H$1-A91+1,-B91)+Carátula!M132-Carátula!N132)</f>
        <v>931.8485397454499</v>
      </c>
    </row>
    <row r="92" spans="1:5" x14ac:dyDescent="0.25">
      <c r="A92" s="2">
        <f t="shared" si="1"/>
        <v>90</v>
      </c>
      <c r="B92" s="95">
        <f>Carátula!F133</f>
        <v>267348.86904707446</v>
      </c>
      <c r="C92" s="94">
        <f>IF(A92="","",PPMT($H$2/360*30.4,A92,$H$1,-$H$3)+Carátula!M133-Carátula!N133)</f>
        <v>2266.3544235247127</v>
      </c>
      <c r="D92" s="94">
        <f>IF(A92="","",(PMT($H$2/360*30.4,$H$1,-$H$3)-(($H$2/360*30.4)*(B92))+Carátula!M133-Carátula!N133))</f>
        <v>5342.0559023897076</v>
      </c>
      <c r="E92" s="94">
        <f>IF(A92="","",PPMT($H$2/360*30.4,1,$H$1-A92+1,-B92)+Carátula!M133-Carátula!N133)</f>
        <v>924.1302005889836</v>
      </c>
    </row>
    <row r="93" spans="1:5" x14ac:dyDescent="0.25">
      <c r="A93" s="2">
        <f t="shared" si="1"/>
        <v>91</v>
      </c>
      <c r="B93" s="95">
        <f>Carátula!F134</f>
        <v>262006.81314468477</v>
      </c>
      <c r="C93" s="94">
        <f>IF(A93="","",PPMT($H$2/360*30.4,A93,$H$1,-$H$3)+Carátula!M134-Carátula!N134)</f>
        <v>2284.3059650962941</v>
      </c>
      <c r="D93" s="94">
        <f>IF(A93="","",(PMT($H$2/360*30.4,$H$1,-$H$3)-(($H$2/360*30.4)*(B93))+Carátula!M134-Carátula!N134))</f>
        <v>5384.3697336307696</v>
      </c>
      <c r="E93" s="94">
        <f>IF(A93="","",PPMT($H$2/360*30.4,1,$H$1-A93+1,-B93)+Carátula!M134-Carátula!N134)</f>
        <v>916.00458000465119</v>
      </c>
    </row>
    <row r="94" spans="1:5" x14ac:dyDescent="0.25">
      <c r="A94" s="2">
        <f t="shared" si="1"/>
        <v>92</v>
      </c>
      <c r="B94" s="95">
        <f>Carátula!F135</f>
        <v>256622.443411054</v>
      </c>
      <c r="C94" s="94">
        <f>IF(A94="","",PPMT($H$2/360*30.4,A94,$H$1,-$H$3)+Carátula!M135-Carátula!N135)</f>
        <v>2302.3996988340482</v>
      </c>
      <c r="D94" s="94">
        <f>IF(A94="","",(PMT($H$2/360*30.4,$H$1,-$H$3)-(($H$2/360*30.4)*(B94))+Carátula!M135-Carátula!N135))</f>
        <v>5427.018728027555</v>
      </c>
      <c r="E94" s="94">
        <f>IF(A94="","",PPMT($H$2/360*30.4,1,$H$1-A94+1,-B94)+Carátula!M135-Carátula!N135)</f>
        <v>907.4592745299517</v>
      </c>
    </row>
    <row r="95" spans="1:5" x14ac:dyDescent="0.25">
      <c r="A95" s="2">
        <f t="shared" si="1"/>
        <v>93</v>
      </c>
      <c r="B95" s="95">
        <f>Carátula!F136</f>
        <v>251195.42468302645</v>
      </c>
      <c r="C95" s="94">
        <f>IF(A95="","",PPMT($H$2/360*30.4,A95,$H$1,-$H$3)+Carátula!M136-Carátula!N136)</f>
        <v>2320.6367510263235</v>
      </c>
      <c r="D95" s="94">
        <f>IF(A95="","",(PMT($H$2/360*30.4,$H$1,-$H$3)-(($H$2/360*30.4)*(B95))+Carátula!M136-Carátula!N136))</f>
        <v>5470.0055403701808</v>
      </c>
      <c r="E95" s="94">
        <f>IF(A95="","",PPMT($H$2/360*30.4,1,$H$1-A95+1,-B95)+Carátula!M136-Carátula!N136)</f>
        <v>898.48149579172639</v>
      </c>
    </row>
    <row r="96" spans="1:5" x14ac:dyDescent="0.25">
      <c r="A96" s="2">
        <f t="shared" si="1"/>
        <v>94</v>
      </c>
      <c r="B96" s="95">
        <f>Carátula!F137</f>
        <v>245725.41914265626</v>
      </c>
      <c r="C96" s="94">
        <f>IF(A96="","",PPMT($H$2/360*30.4,A96,$H$1,-$H$3)+Carátula!M137-Carátula!N137)</f>
        <v>2339.0182568826754</v>
      </c>
      <c r="D96" s="94">
        <f>IF(A96="","",(PMT($H$2/360*30.4,$H$1,-$H$3)-(($H$2/360*30.4)*(B96))+Carátula!M137-Carátula!N137))</f>
        <v>5513.3328464770593</v>
      </c>
      <c r="E96" s="94">
        <f>IF(A96="","",PPMT($H$2/360*30.4,1,$H$1-A96+1,-B96)+Carátula!M137-Carátula!N137)</f>
        <v>889.05805687499378</v>
      </c>
    </row>
    <row r="97" spans="1:5" x14ac:dyDescent="0.25">
      <c r="A97" s="2">
        <f t="shared" si="1"/>
        <v>95</v>
      </c>
      <c r="B97" s="95">
        <f>Carátula!F138</f>
        <v>240212.08629617922</v>
      </c>
      <c r="C97" s="94">
        <f>IF(A97="","",PPMT($H$2/360*30.4,A97,$H$1,-$H$3)+Carátula!M138-Carátula!N138)</f>
        <v>2357.5453606045253</v>
      </c>
      <c r="D97" s="94">
        <f>IF(A97="","",(PMT($H$2/360*30.4,$H$1,-$H$3)-(($H$2/360*30.4)*(B97))+Carátula!M138-Carátula!N138))</f>
        <v>5557.0033433614662</v>
      </c>
      <c r="E97" s="94">
        <f>IF(A97="","",PPMT($H$2/360*30.4,1,$H$1-A97+1,-B97)+Carátula!M138-Carátula!N138)</f>
        <v>879.17535812610015</v>
      </c>
    </row>
    <row r="98" spans="1:5" x14ac:dyDescent="0.25">
      <c r="A98" s="2">
        <f t="shared" si="1"/>
        <v>96</v>
      </c>
      <c r="B98" s="95">
        <f>Carátula!F139</f>
        <v>234655.08295281776</v>
      </c>
      <c r="C98" s="94">
        <f>IF(A98="","",PPMT($H$2/360*30.4,A98,$H$1,-$H$3)+Carátula!M139-Carátula!N139)</f>
        <v>2376.2192154563895</v>
      </c>
      <c r="D98" s="94">
        <f>IF(A98="","",(PMT($H$2/360*30.4,$H$1,-$H$3)-(($H$2/360*30.4)*(B98))+Carátula!M139-Carátula!N139))</f>
        <v>5601.0197493994165</v>
      </c>
      <c r="E98" s="94">
        <f>IF(A98="","",PPMT($H$2/360*30.4,1,$H$1-A98+1,-B98)+Carátula!M139-Carátula!N139)</f>
        <v>868.8193723628367</v>
      </c>
    </row>
    <row r="99" spans="1:5" x14ac:dyDescent="0.25">
      <c r="A99" s="2">
        <f t="shared" si="1"/>
        <v>97</v>
      </c>
      <c r="B99" s="95">
        <f>Carátula!F140</f>
        <v>229054.06320341834</v>
      </c>
      <c r="C99" s="94">
        <f>IF(A99="","",PPMT($H$2/360*30.4,A99,$H$1,-$H$3)+Carátula!M140-Carátula!N140)</f>
        <v>2395.0409838376622</v>
      </c>
      <c r="D99" s="94">
        <f>IF(A99="","",(PMT($H$2/360*30.4,$H$1,-$H$3)-(($H$2/360*30.4)*(B99))+Carátula!M140-Carátula!N140))</f>
        <v>5645.3848044988808</v>
      </c>
      <c r="E99" s="94">
        <f>IF(A99="","",PPMT($H$2/360*30.4,1,$H$1-A99+1,-B99)+Carátula!M140-Carátula!N140)</f>
        <v>857.9756294626236</v>
      </c>
    </row>
    <row r="100" spans="1:5" x14ac:dyDescent="0.25">
      <c r="A100" s="2">
        <f t="shared" si="1"/>
        <v>98</v>
      </c>
      <c r="B100" s="95">
        <f>Carátula!F141</f>
        <v>223408.67839891947</v>
      </c>
      <c r="C100" s="94">
        <f>IF(A100="","",PPMT($H$2/360*30.4,A100,$H$1,-$H$3)+Carátula!M141-Carátula!N141)</f>
        <v>2414.0118373549758</v>
      </c>
      <c r="D100" s="94">
        <f>IF(A100="","",(PMT($H$2/360*30.4,$H$1,-$H$3)-(($H$2/360*30.4)*(B100))+Carátula!M141-Carátula!N141))</f>
        <v>5690.1012702703383</v>
      </c>
      <c r="E100" s="94">
        <f>IF(A100="","",PPMT($H$2/360*30.4,1,$H$1-A100+1,-B100)+Carátula!M141-Carátula!N141)</f>
        <v>846.62920029827796</v>
      </c>
    </row>
    <row r="101" spans="1:5" x14ac:dyDescent="0.25">
      <c r="A101" s="2">
        <f t="shared" si="1"/>
        <v>99</v>
      </c>
      <c r="B101" s="95">
        <f>Carátula!F142</f>
        <v>217718.57712864914</v>
      </c>
      <c r="C101" s="94">
        <f>IF(A101="","",PPMT($H$2/360*30.4,A101,$H$1,-$H$3)+Carátula!M142-Carátula!N142)</f>
        <v>2433.1329568951264</v>
      </c>
      <c r="D101" s="94">
        <f>IF(A101="","",(PMT($H$2/360*30.4,$H$1,-$H$3)-(($H$2/360*30.4)*(B101))+Carátula!M142-Carátula!N142))</f>
        <v>5735.171930198675</v>
      </c>
      <c r="E101" s="94">
        <f>IF(A101="","",PPMT($H$2/360*30.4,1,$H$1-A101+1,-B101)+Carátula!M142-Carátula!N142)</f>
        <v>834.76467998913529</v>
      </c>
    </row>
    <row r="102" spans="1:5" x14ac:dyDescent="0.25">
      <c r="A102" s="2">
        <f t="shared" si="1"/>
        <v>100</v>
      </c>
      <c r="B102" s="95">
        <f>Carátula!F143</f>
        <v>211983.40519845046</v>
      </c>
      <c r="C102" s="94">
        <f>IF(A102="","",PPMT($H$2/360*30.4,A102,$H$1,-$H$3)+Carátula!M143-Carátula!N143)</f>
        <v>2452.4055326985867</v>
      </c>
      <c r="D102" s="94">
        <f>IF(A102="","",(PMT($H$2/360*30.4,$H$1,-$H$3)-(($H$2/360*30.4)*(B102))+Carátula!M143-Carátula!N143))</f>
        <v>5780.5995898164529</v>
      </c>
      <c r="E102" s="94">
        <f>IF(A102="","",PPMT($H$2/360*30.4,1,$H$1-A102+1,-B102)+Carátula!M143-Carátula!N143)</f>
        <v>822.36617043349213</v>
      </c>
    </row>
    <row r="103" spans="1:5" x14ac:dyDescent="0.25">
      <c r="A103" s="2">
        <f t="shared" si="1"/>
        <v>101</v>
      </c>
      <c r="B103" s="95">
        <f>Carátula!F144</f>
        <v>206202.80560863402</v>
      </c>
      <c r="C103" s="94">
        <f>IF(A103="","",PPMT($H$2/360*30.4,A103,$H$1,-$H$3)+Carátula!M144-Carátula!N144)</f>
        <v>2471.8307644335887</v>
      </c>
      <c r="D103" s="94">
        <f>IF(A103="","",(PMT($H$2/360*30.4,$H$1,-$H$3)-(($H$2/360*30.4)*(B103))+Carátula!M144-Carátula!N144))</f>
        <v>5826.3870768785455</v>
      </c>
      <c r="E103" s="94">
        <f>IF(A103="","",PPMT($H$2/360*30.4,1,$H$1-A103+1,-B103)+Carátula!M144-Carátula!N144)</f>
        <v>809.41726208635885</v>
      </c>
    </row>
    <row r="104" spans="1:5" x14ac:dyDescent="0.25">
      <c r="A104" s="2">
        <f t="shared" si="1"/>
        <v>102</v>
      </c>
      <c r="B104" s="95">
        <f>Carátula!F145</f>
        <v>200376.41853175548</v>
      </c>
      <c r="C104" s="94">
        <f>IF(A104="","",PPMT($H$2/360*30.4,A104,$H$1,-$H$3)+Carátula!M145-Carátula!N145)</f>
        <v>2491.4098612708049</v>
      </c>
      <c r="D104" s="94">
        <f>IF(A104="","",(PMT($H$2/360*30.4,$H$1,-$H$3)-(($H$2/360*30.4)*(B104))+Carátula!M145-Carátula!N145))</f>
        <v>5872.5372415381589</v>
      </c>
      <c r="E104" s="94">
        <f>IF(A104="","",PPMT($H$2/360*30.4,1,$H$1-A104+1,-B104)+Carátula!M145-Carátula!N145)</f>
        <v>795.90101494448288</v>
      </c>
    </row>
    <row r="105" spans="1:5" x14ac:dyDescent="0.25">
      <c r="A105" s="2">
        <f t="shared" si="1"/>
        <v>103</v>
      </c>
      <c r="B105" s="95">
        <f>Carátula!F146</f>
        <v>194503.88129021731</v>
      </c>
      <c r="C105" s="94">
        <f>IF(A105="","",PPMT($H$2/360*30.4,A105,$H$1,-$H$3)+Carátula!M146-Carátula!N146)</f>
        <v>2511.1440419586124</v>
      </c>
      <c r="D105" s="94">
        <f>IF(A105="","",(PMT($H$2/360*30.4,$H$1,-$H$3)-(($H$2/360*30.4)*(B105))+Carátula!M146-Carátula!N146))</f>
        <v>5919.052956524245</v>
      </c>
      <c r="E105" s="94">
        <f>IF(A105="","",PPMT($H$2/360*30.4,1,$H$1-A105+1,-B105)+Carátula!M146-Carátula!N146)</f>
        <v>781.79993869834584</v>
      </c>
    </row>
    <row r="106" spans="1:5" x14ac:dyDescent="0.25">
      <c r="A106" s="2">
        <f t="shared" si="1"/>
        <v>104</v>
      </c>
      <c r="B106" s="95">
        <f>Carátula!F147</f>
        <v>188584.82833369306</v>
      </c>
      <c r="C106" s="94">
        <f>IF(A106="","",PPMT($H$2/360*30.4,A106,$H$1,-$H$3)+Carátula!M147-Carátula!N147)</f>
        <v>2531.0345348989622</v>
      </c>
      <c r="D106" s="94">
        <f>IF(A106="","",(PMT($H$2/360*30.4,$H$1,-$H$3)-(($H$2/360*30.4)*(B106))+Carátula!M147-Carátula!N147))</f>
        <v>5965.9371173203226</v>
      </c>
      <c r="E106" s="94">
        <f>IF(A106="","",PPMT($H$2/360*30.4,1,$H$1-A106+1,-B106)+Carátula!M147-Carátula!N147)</f>
        <v>767.09597200853386</v>
      </c>
    </row>
    <row r="107" spans="1:5" x14ac:dyDescent="0.25">
      <c r="A107" s="2">
        <f t="shared" si="1"/>
        <v>105</v>
      </c>
      <c r="B107" s="95">
        <f>Carátula!F148</f>
        <v>182618.89121637275</v>
      </c>
      <c r="C107" s="94">
        <f>IF(A107="","",PPMT($H$2/360*30.4,A107,$H$1,-$H$3)+Carátula!M148-Carátula!N148)</f>
        <v>2551.0825782238371</v>
      </c>
      <c r="D107" s="94">
        <f>IF(A107="","",(PMT($H$2/360*30.4,$H$1,-$H$3)-(($H$2/360*30.4)*(B107))+Carátula!M148-Carátula!N148))</f>
        <v>6013.1926423447148</v>
      </c>
      <c r="E107" s="94">
        <f>IF(A107="","",PPMT($H$2/360*30.4,1,$H$1-A107+1,-B107)+Carátula!M148-Carátula!N148)</f>
        <v>751.77046086133089</v>
      </c>
    </row>
    <row r="108" spans="1:5" x14ac:dyDescent="0.25">
      <c r="A108" s="2">
        <f t="shared" si="1"/>
        <v>106</v>
      </c>
      <c r="B108" s="95">
        <f>Carátula!F149</f>
        <v>176605.69857402804</v>
      </c>
      <c r="C108" s="94">
        <f>IF(A108="","",PPMT($H$2/360*30.4,A108,$H$1,-$H$3)+Carátula!M149-Carátula!N149)</f>
        <v>2571.2894198723284</v>
      </c>
      <c r="D108" s="94">
        <f>IF(A108="","",(PMT($H$2/360*30.4,$H$1,-$H$3)-(($H$2/360*30.4)*(B108))+Carátula!M149-Carátula!N149))</f>
        <v>6060.8224731322116</v>
      </c>
      <c r="E108" s="94">
        <f>IF(A108="","",PPMT($H$2/360*30.4,1,$H$1-A108+1,-B108)+Carátula!M149-Carátula!N149)</f>
        <v>735.80413595574373</v>
      </c>
    </row>
    <row r="109" spans="1:5" x14ac:dyDescent="0.25">
      <c r="A109" s="2">
        <f t="shared" si="1"/>
        <v>107</v>
      </c>
      <c r="B109" s="95">
        <f>Carátula!F150</f>
        <v>170544.87610089581</v>
      </c>
      <c r="C109" s="94">
        <f>IF(A109="","",PPMT($H$2/360*30.4,A109,$H$1,-$H$3)+Carátula!M150-Carátula!N150)</f>
        <v>2591.6563176683126</v>
      </c>
      <c r="D109" s="94">
        <f>IF(A109="","",(PMT($H$2/360*30.4,$H$1,-$H$3)-(($H$2/360*30.4)*(B109))+Carátula!M150-Carátula!N150))</f>
        <v>6108.8295745171727</v>
      </c>
      <c r="E109" s="94">
        <f>IF(A109="","",PPMT($H$2/360*30.4,1,$H$1-A109+1,-B109)+Carátula!M150-Carátula!N150)</f>
        <v>719.17708907128747</v>
      </c>
    </row>
    <row r="110" spans="1:5" x14ac:dyDescent="0.25">
      <c r="A110" s="2">
        <f t="shared" si="1"/>
        <v>108</v>
      </c>
      <c r="B110" s="95">
        <f>Carátula!F151</f>
        <v>164436.04652637863</v>
      </c>
      <c r="C110" s="94">
        <f>IF(A110="","",PPMT($H$2/360*30.4,A110,$H$1,-$H$3)+Carátula!M151-Carátula!N151)</f>
        <v>2612.1845393987505</v>
      </c>
      <c r="D110" s="94">
        <f>IF(A110="","",(PMT($H$2/360*30.4,$H$1,-$H$3)-(($H$2/360*30.4)*(B110))+Carátula!M151-Carátula!N151))</f>
        <v>6157.2169348180814</v>
      </c>
      <c r="E110" s="94">
        <f>IF(A110="","",PPMT($H$2/360*30.4,1,$H$1-A110+1,-B110)+Carátula!M151-Carátula!N151)</f>
        <v>701.86874836283005</v>
      </c>
    </row>
    <row r="111" spans="1:5" x14ac:dyDescent="0.25">
      <c r="A111" s="2">
        <f t="shared" si="1"/>
        <v>109</v>
      </c>
      <c r="B111" s="95">
        <f>Carátula!F152</f>
        <v>158278.82959156056</v>
      </c>
      <c r="C111" s="94">
        <f>IF(A111="","",PPMT($H$2/360*30.4,A111,$H$1,-$H$3)+Carátula!M152-Carátula!N152)</f>
        <v>2632.8753628926015</v>
      </c>
      <c r="D111" s="94">
        <f>IF(A111="","",(PMT($H$2/360*30.4,$H$1,-$H$3)-(($H$2/360*30.4)*(B111))+Carátula!M152-Carátula!N152))</f>
        <v>6205.9875660235612</v>
      </c>
      <c r="E111" s="94">
        <f>IF(A111="","",PPMT($H$2/360*30.4,1,$H$1-A111+1,-B111)+Carátula!M152-Carátula!N152)</f>
        <v>683.8578525255258</v>
      </c>
    </row>
    <row r="112" spans="1:5" x14ac:dyDescent="0.25">
      <c r="A112" s="2">
        <f t="shared" si="1"/>
        <v>110</v>
      </c>
      <c r="B112" s="95">
        <f>Carátula!F153</f>
        <v>152072.84202553699</v>
      </c>
      <c r="C112" s="94">
        <f>IF(A112="","",PPMT($H$2/360*30.4,A112,$H$1,-$H$3)+Carátula!M153-Carátula!N153)</f>
        <v>2653.7300761003671</v>
      </c>
      <c r="D112" s="94">
        <f>IF(A112="","",(PMT($H$2/360*30.4,$H$1,-$H$3)-(($H$2/360*30.4)*(B112))+Carátula!M153-Carátula!N153))</f>
        <v>6255.14450397986</v>
      </c>
      <c r="E112" s="94">
        <f>IF(A112="","",PPMT($H$2/360*30.4,1,$H$1-A112+1,-B112)+Carátula!M153-Carátula!N153)</f>
        <v>665.12242376939696</v>
      </c>
    </row>
    <row r="113" spans="1:5" x14ac:dyDescent="0.25">
      <c r="A113" s="2">
        <f t="shared" si="1"/>
        <v>111</v>
      </c>
      <c r="B113" s="95">
        <f>Carátula!F154</f>
        <v>145817.69752155713</v>
      </c>
      <c r="C113" s="94">
        <f>IF(A113="","",PPMT($H$2/360*30.4,A113,$H$1,-$H$3)+Carátula!M154-Carátula!N154)</f>
        <v>2674.7499771742605</v>
      </c>
      <c r="D113" s="94">
        <f>IF(A113="","",(PMT($H$2/360*30.4,$H$1,-$H$3)-(($H$2/360*30.4)*(B113))+Carátula!M154-Carátula!N154))</f>
        <v>6304.6908085798277</v>
      </c>
      <c r="E113" s="94">
        <f>IF(A113="","",PPMT($H$2/360*30.4,1,$H$1-A113+1,-B113)+Carátula!M154-Carátula!N154)</f>
        <v>645.63973953940069</v>
      </c>
    </row>
    <row r="114" spans="1:5" x14ac:dyDescent="0.25">
      <c r="A114" s="2">
        <f t="shared" si="1"/>
        <v>112</v>
      </c>
      <c r="B114" s="95">
        <f>Carátula!F155</f>
        <v>139513.00671297731</v>
      </c>
      <c r="C114" s="94">
        <f>IF(A114="","",PPMT($H$2/360*30.4,A114,$H$1,-$H$3)+Carátula!M155-Carátula!N155)</f>
        <v>2695.9363745490159</v>
      </c>
      <c r="D114" s="94">
        <f>IF(A114="","",(PMT($H$2/360*30.4,$H$1,-$H$3)-(($H$2/360*30.4)*(B114))+Carátula!M155-Carátula!N155))</f>
        <v>6354.6295639533873</v>
      </c>
      <c r="E114" s="94">
        <f>IF(A114="","",PPMT($H$2/360*30.4,1,$H$1-A114+1,-B114)+Carátula!M155-Carátula!N155)</f>
        <v>625.38630291283505</v>
      </c>
    </row>
    <row r="115" spans="1:5" x14ac:dyDescent="0.25">
      <c r="A115" s="2">
        <f t="shared" si="1"/>
        <v>113</v>
      </c>
      <c r="B115" s="95">
        <f>Carátula!F156</f>
        <v>133158.37714902393</v>
      </c>
      <c r="C115" s="94">
        <f>IF(A115="","",PPMT($H$2/360*30.4,A115,$H$1,-$H$3)+Carátula!M156-Carátula!N156)</f>
        <v>2717.2905870233326</v>
      </c>
      <c r="D115" s="94">
        <f>IF(A115="","",(PMT($H$2/360*30.4,$H$1,-$H$3)-(($H$2/360*30.4)*(B115))+Carátula!M156-Carátula!N156))</f>
        <v>6404.9638786595106</v>
      </c>
      <c r="E115" s="94">
        <f>IF(A115="","",PPMT($H$2/360*30.4,1,$H$1-A115+1,-B115)+Carátula!M156-Carátula!N156)</f>
        <v>604.33781160167871</v>
      </c>
    </row>
    <row r="116" spans="1:5" x14ac:dyDescent="0.25">
      <c r="A116" s="2">
        <f t="shared" si="1"/>
        <v>114</v>
      </c>
      <c r="B116" s="95">
        <f>Carátula!F157</f>
        <v>126753.41327036441</v>
      </c>
      <c r="C116" s="94">
        <f>IF(A116="","",PPMT($H$2/360*30.4,A116,$H$1,-$H$3)+Carátula!M157-Carátula!N157)</f>
        <v>2738.8139438419676</v>
      </c>
      <c r="D116" s="94">
        <f>IF(A116="","",(PMT($H$2/360*30.4,$H$1,-$H$3)-(($H$2/360*30.4)*(B116))+Carátula!M157-Carátula!N157))</f>
        <v>6455.69688587972</v>
      </c>
      <c r="E116" s="94">
        <f>IF(A116="","",PPMT($H$2/360*30.4,1,$H$1-A116+1,-B116)+Carátula!M157-Carátula!N157)</f>
        <v>582.46912548290743</v>
      </c>
    </row>
    <row r="117" spans="1:5" x14ac:dyDescent="0.25">
      <c r="A117" s="2">
        <f t="shared" si="1"/>
        <v>115</v>
      </c>
      <c r="B117" s="95">
        <f>Carátula!F158</f>
        <v>120297.71638448469</v>
      </c>
      <c r="C117" s="94">
        <f>IF(A117="","",PPMT($H$2/360*30.4,A117,$H$1,-$H$3)+Carátula!M158-Carátula!N158)</f>
        <v>2760.5077847784796</v>
      </c>
      <c r="D117" s="94">
        <f>IF(A117="","",(PMT($H$2/360*30.4,$H$1,-$H$3)-(($H$2/360*30.4)*(B117))+Carátula!M158-Carátula!N158))</f>
        <v>6506.8317436131192</v>
      </c>
      <c r="E117" s="94">
        <f>IF(A117="","",PPMT($H$2/360*30.4,1,$H$1-A117+1,-B117)+Carátula!M158-Carátula!N158)</f>
        <v>559.75423257492719</v>
      </c>
    </row>
    <row r="118" spans="1:5" x14ac:dyDescent="0.25">
      <c r="A118" s="2">
        <f t="shared" si="1"/>
        <v>116</v>
      </c>
      <c r="B118" s="95">
        <f>Carátula!F159</f>
        <v>113790.88464087158</v>
      </c>
      <c r="C118" s="94">
        <f>IF(A118="","",PPMT($H$2/360*30.4,A118,$H$1,-$H$3)+Carátula!M159-Carátula!N159)</f>
        <v>2782.3734602186228</v>
      </c>
      <c r="D118" s="94">
        <f>IF(A118="","",(PMT($H$2/360*30.4,$H$1,-$H$3)-(($H$2/360*30.4)*(B118))+Carátula!M159-Carátula!N159))</f>
        <v>6558.371634872974</v>
      </c>
      <c r="E118" s="94">
        <f>IF(A118="","",PPMT($H$2/360*30.4,1,$H$1-A118+1,-B118)+Carátula!M159-Carátula!N159)</f>
        <v>536.16621337303275</v>
      </c>
    </row>
    <row r="119" spans="1:5" x14ac:dyDescent="0.25">
      <c r="A119" s="2">
        <f t="shared" si="1"/>
        <v>117</v>
      </c>
      <c r="B119" s="95">
        <f>Carátula!F160</f>
        <v>107232.5130059986</v>
      </c>
      <c r="C119" s="94">
        <f>IF(A119="","",PPMT($H$2/360*30.4,A119,$H$1,-$H$3)+Carátula!M160-Carátula!N160)</f>
        <v>2804.4123312444081</v>
      </c>
      <c r="D119" s="94">
        <f>IF(A119="","",(PMT($H$2/360*30.4,$H$1,-$H$3)-(($H$2/360*30.4)*(B119))+Carátula!M160-Carátula!N160))</f>
        <v>6610.3197678848428</v>
      </c>
      <c r="E119" s="94">
        <f>IF(A119="","",PPMT($H$2/360*30.4,1,$H$1-A119+1,-B119)+Carátula!M160-Carátula!N160)</f>
        <v>511.67720345118835</v>
      </c>
    </row>
    <row r="120" spans="1:5" x14ac:dyDescent="0.25">
      <c r="A120" s="2">
        <f t="shared" si="1"/>
        <v>118</v>
      </c>
      <c r="B120" s="95">
        <f>Carátula!F161</f>
        <v>100622.19323811376</v>
      </c>
      <c r="C120" s="94">
        <f>IF(A120="","",PPMT($H$2/360*30.4,A120,$H$1,-$H$3)+Carátula!M161-Carátula!N161)</f>
        <v>2826.6257697188244</v>
      </c>
      <c r="D120" s="94">
        <f>IF(A120="","",(PMT($H$2/360*30.4,$H$1,-$H$3)-(($H$2/360*30.4)*(B120))+Carátula!M161-Carátula!N161))</f>
        <v>6662.6793762862844</v>
      </c>
      <c r="E120" s="94">
        <f>IF(A120="","",PPMT($H$2/360*30.4,1,$H$1-A120+1,-B120)+Carátula!M161-Carátula!N161)</f>
        <v>486.25835423138022</v>
      </c>
    </row>
    <row r="121" spans="1:5" x14ac:dyDescent="0.25">
      <c r="A121" s="2">
        <f t="shared" si="1"/>
        <v>119</v>
      </c>
      <c r="B121" s="95">
        <f>Carátula!F162</f>
        <v>93959.51386182748</v>
      </c>
      <c r="C121" s="94">
        <f>IF(A121="","",PPMT($H$2/360*30.4,A121,$H$1,-$H$3)+Carátula!M162-Carátula!N162)</f>
        <v>2849.0151583712377</v>
      </c>
      <c r="D121" s="94">
        <f>IF(A121="","",(PMT($H$2/360*30.4,$H$1,-$H$3)-(($H$2/360*30.4)*(B121))+Carátula!M162-Carátula!N162))</f>
        <v>6715.4537193281394</v>
      </c>
      <c r="E121" s="94">
        <f>IF(A121="","",PPMT($H$2/360*30.4,1,$H$1-A121+1,-B121)+Carátula!M162-Carátula!N162)</f>
        <v>459.87979181532808</v>
      </c>
    </row>
    <row r="122" spans="1:5" x14ac:dyDescent="0.25">
      <c r="A122" s="2">
        <f t="shared" si="1"/>
        <v>120</v>
      </c>
      <c r="B122" s="95">
        <f>Carátula!F163</f>
        <v>87244.060142499337</v>
      </c>
      <c r="C122" s="94">
        <f>IF(A122="","",PPMT($H$2/360*30.4,A122,$H$1,-$H$3)+Carátula!M163-Carátula!N163)</f>
        <v>2871.5818908834563</v>
      </c>
      <c r="D122" s="94">
        <f>IF(A122="","",(PMT($H$2/360*30.4,$H$1,-$H$3)-(($H$2/360*30.4)*(B122))+Carátula!M163-Carátula!N163))</f>
        <v>6768.6460820774137</v>
      </c>
      <c r="E122" s="94">
        <f>IF(A122="","",PPMT($H$2/360*30.4,1,$H$1-A122+1,-B122)+Carátula!M163-Carátula!N163)</f>
        <v>432.51057376638101</v>
      </c>
    </row>
    <row r="123" spans="1:5" x14ac:dyDescent="0.25">
      <c r="A123" s="2">
        <f t="shared" si="1"/>
        <v>121</v>
      </c>
      <c r="B123" s="95">
        <f>Carátula!F164</f>
        <v>80475.414060421928</v>
      </c>
      <c r="C123" s="94">
        <f>IF(A123="","",PPMT($H$2/360*30.4,A123,$H$1,-$H$3)+Carátula!M164-Carátula!N164)</f>
        <v>2894.3273719764898</v>
      </c>
      <c r="D123" s="94">
        <f>IF(A123="","",(PMT($H$2/360*30.4,$H$1,-$H$3)-(($H$2/360*30.4)*(B123))+Carátula!M164-Carátula!N164))</f>
        <v>6822.2597756217619</v>
      </c>
      <c r="E123" s="94">
        <f>IF(A123="","",PPMT($H$2/360*30.4,1,$H$1-A123+1,-B123)+Carátula!M164-Carátula!N164)</f>
        <v>404.11864372194236</v>
      </c>
    </row>
    <row r="124" spans="1:5" x14ac:dyDescent="0.25">
      <c r="A124" s="2">
        <f t="shared" si="1"/>
        <v>122</v>
      </c>
      <c r="B124" s="95">
        <f>Carátula!F165</f>
        <v>73653.15428480017</v>
      </c>
      <c r="C124" s="94">
        <f>IF(A124="","",PPMT($H$2/360*30.4,A124,$H$1,-$H$3)+Carátula!M165-Carátula!N165)</f>
        <v>2917.2530174979852</v>
      </c>
      <c r="D124" s="94">
        <f>IF(A124="","",(PMT($H$2/360*30.4,$H$1,-$H$3)-(($H$2/360*30.4)*(B124))+Carátula!M165-Carátula!N165))</f>
        <v>6876.2981372755976</v>
      </c>
      <c r="E124" s="94">
        <f>IF(A124="","",PPMT($H$2/360*30.4,1,$H$1-A124+1,-B124)+Carátula!M165-Carátula!N165)</f>
        <v>374.67078370872872</v>
      </c>
    </row>
    <row r="125" spans="1:5" x14ac:dyDescent="0.25">
      <c r="A125" s="2">
        <f t="shared" si="1"/>
        <v>123</v>
      </c>
      <c r="B125" s="95">
        <f>Carátula!F166</f>
        <v>66776.856147524566</v>
      </c>
      <c r="C125" s="94">
        <f>IF(A125="","",PPMT($H$2/360*30.4,A125,$H$1,-$H$3)+Carátula!M166-Carátula!N166)</f>
        <v>2940.3602545103622</v>
      </c>
      <c r="D125" s="94">
        <f>IF(A125="","",(PMT($H$2/360*30.4,$H$1,-$H$3)-(($H$2/360*30.4)*(B125))+Carátula!M166-Carátula!N166))</f>
        <v>6930.764530787832</v>
      </c>
      <c r="E125" s="94">
        <f>IF(A125="","",PPMT($H$2/360*30.4,1,$H$1-A125+1,-B125)+Carátula!M166-Carátula!N166)</f>
        <v>344.13256402450298</v>
      </c>
    </row>
    <row r="126" spans="1:5" x14ac:dyDescent="0.25">
      <c r="A126" s="2">
        <f t="shared" si="1"/>
        <v>124</v>
      </c>
      <c r="B126" s="95">
        <f>Carátula!F167</f>
        <v>59846.091616736732</v>
      </c>
      <c r="C126" s="94">
        <f>IF(A126="","",PPMT($H$2/360*30.4,A126,$H$1,-$H$3)+Carátula!M167-Carátula!N167)</f>
        <v>2963.650521379644</v>
      </c>
      <c r="D126" s="94">
        <f>IF(A126="","",(PMT($H$2/360*30.4,$H$1,-$H$3)-(($H$2/360*30.4)*(B126))+Carátula!M167-Carátula!N167))</f>
        <v>6985.6623465512539</v>
      </c>
      <c r="E126" s="94">
        <f>IF(A126="","",PPMT($H$2/360*30.4,1,$H$1-A126+1,-B126)+Carátula!M167-Carátula!N167)</f>
        <v>312.46829054060322</v>
      </c>
    </row>
    <row r="127" spans="1:5" x14ac:dyDescent="0.25">
      <c r="A127" s="2">
        <f t="shared" si="1"/>
        <v>125</v>
      </c>
      <c r="B127" s="95">
        <f>Carátula!F168</f>
        <v>52860.429270185479</v>
      </c>
      <c r="C127" s="94">
        <f>IF(A127="","",PPMT($H$2/360*30.4,A127,$H$1,-$H$3)+Carátula!M168-Carátula!N168)</f>
        <v>2987.1252678649894</v>
      </c>
      <c r="D127" s="94">
        <f>IF(A127="","",(PMT($H$2/360*30.4,$H$1,-$H$3)-(($H$2/360*30.4)*(B127))+Carátula!M168-Carátula!N168))</f>
        <v>7040.9950018135814</v>
      </c>
      <c r="E127" s="94">
        <f>IF(A127="","",PPMT($H$2/360*30.4,1,$H$1-A127+1,-B127)+Carátula!M168-Carátula!N168)</f>
        <v>279.64094926953874</v>
      </c>
    </row>
    <row r="128" spans="1:5" x14ac:dyDescent="0.25">
      <c r="A128" s="2">
        <f t="shared" si="1"/>
        <v>126</v>
      </c>
      <c r="B128" s="95">
        <f>Carátula!F169</f>
        <v>45819.434268371901</v>
      </c>
      <c r="C128" s="94">
        <f>IF(A128="","",PPMT($H$2/360*30.4,A128,$H$1,-$H$3)+Carátula!M169-Carátula!N169)</f>
        <v>3010.7859552089408</v>
      </c>
      <c r="D128" s="94">
        <f>IF(A128="","",(PMT($H$2/360*30.4,$H$1,-$H$3)-(($H$2/360*30.4)*(B128))+Carátula!M169-Carátula!N169))</f>
        <v>7096.7659408901691</v>
      </c>
      <c r="E128" s="94">
        <f>IF(A128="","",PPMT($H$2/360*30.4,1,$H$1-A128+1,-B128)+Carátula!M169-Carátula!N169)</f>
        <v>245.61214803108933</v>
      </c>
    </row>
    <row r="129" spans="1:5" x14ac:dyDescent="0.25">
      <c r="A129" s="2">
        <f t="shared" si="1"/>
        <v>127</v>
      </c>
      <c r="B129" s="95">
        <f>Carátula!F170</f>
        <v>38722.668327481733</v>
      </c>
      <c r="C129" s="94">
        <f>IF(A129="","",PPMT($H$2/360*30.4,A129,$H$1,-$H$3)+Carátula!M170-Carátula!N170)</f>
        <v>3034.6340562283781</v>
      </c>
      <c r="D129" s="94">
        <f>IF(A129="","",(PMT($H$2/360*30.4,$H$1,-$H$3)-(($H$2/360*30.4)*(B129))+Carátula!M170-Carátula!N170))</f>
        <v>7152.9786353784111</v>
      </c>
      <c r="E129" s="94">
        <f>IF(A129="","",PPMT($H$2/360*30.4,1,$H$1-A129+1,-B129)+Carátula!M170-Carátula!N170)</f>
        <v>210.34205503865797</v>
      </c>
    </row>
    <row r="130" spans="1:5" x14ac:dyDescent="0.25">
      <c r="A130" s="2">
        <f t="shared" si="1"/>
        <v>128</v>
      </c>
      <c r="B130" s="95">
        <f>Carátula!F171</f>
        <v>31569.689692103322</v>
      </c>
      <c r="C130" s="94">
        <f>IF(A130="","",PPMT($H$2/360*30.4,A130,$H$1,-$H$3)+Carátula!M171-Carátula!N171)</f>
        <v>3058.671055406201</v>
      </c>
      <c r="D130" s="94">
        <f>IF(A130="","",(PMT($H$2/360*30.4,$H$1,-$H$3)-(($H$2/360*30.4)*(B130))+Carátula!M171-Carátula!N171))</f>
        <v>7209.6365843738395</v>
      </c>
      <c r="E130" s="94">
        <f>IF(A130="","",PPMT($H$2/360*30.4,1,$H$1-A130+1,-B130)+Carátula!M171-Carátula!N171)</f>
        <v>173.78933421500273</v>
      </c>
    </row>
    <row r="131" spans="1:5" x14ac:dyDescent="0.25">
      <c r="A131" s="2">
        <f t="shared" si="1"/>
        <v>129</v>
      </c>
      <c r="B131" s="95">
        <f>Carátula!F172</f>
        <v>24360.053107729484</v>
      </c>
      <c r="C131" s="94">
        <f>IF(A131="","",PPMT($H$2/360*30.4,A131,$H$1,-$H$3)+Carátula!M172-Carátula!N172)</f>
        <v>3082.8984489837339</v>
      </c>
      <c r="D131" s="94">
        <f>IF(A131="","",(PMT($H$2/360*30.4,$H$1,-$H$3)-(($H$2/360*30.4)*(B131))+Carátula!M172-Carátula!N172))</f>
        <v>7266.743314687933</v>
      </c>
      <c r="E131" s="94">
        <f>IF(A131="","",PPMT($H$2/360*30.4,1,$H$1-A131+1,-B131)+Carátula!M172-Carátula!N172)</f>
        <v>135.91107703284212</v>
      </c>
    </row>
    <row r="132" spans="1:5" x14ac:dyDescent="0.25">
      <c r="A132" s="2">
        <f t="shared" si="1"/>
        <v>130</v>
      </c>
      <c r="B132" s="95">
        <f>Carátula!F173</f>
        <v>17093.30979304155</v>
      </c>
      <c r="C132" s="94">
        <f>IF(A132="","",PPMT($H$2/360*30.4,A132,$H$1,-$H$3)+Carátula!M173-Carátula!N173)</f>
        <v>3107.3177450538624</v>
      </c>
      <c r="D132" s="94">
        <f>IF(A132="","",(PMT($H$2/360*30.4,$H$1,-$H$3)-(($H$2/360*30.4)*(B132))+Carátula!M173-Carátula!N173))</f>
        <v>7324.3023810676523</v>
      </c>
      <c r="E132" s="94">
        <f>IF(A132="","",PPMT($H$2/360*30.4,1,$H$1-A132+1,-B132)+Carátula!M173-Carátula!N173)</f>
        <v>96.662730661086627</v>
      </c>
    </row>
    <row r="133" spans="1:5" x14ac:dyDescent="0.25">
      <c r="A133" s="2">
        <f t="shared" ref="A133:A196" si="2">IF(A132=$H$1,"",IF(A132="","",A132+1))</f>
        <v>131</v>
      </c>
      <c r="B133" s="95">
        <f>Carátula!F174</f>
        <v>9769.0074119738965</v>
      </c>
      <c r="C133" s="94">
        <f>IF(A133="","",PPMT($H$2/360*30.4,A133,$H$1,-$H$3)+Carátula!M174-Carátula!N174)</f>
        <v>3131.9304636549068</v>
      </c>
      <c r="D133" s="94">
        <f>IF(A133="","",(PMT($H$2/360*30.4,$H$1,-$H$3)-(($H$2/360*30.4)*(B133))+Carátula!M174-Carátula!N174))</f>
        <v>7382.3173664167134</v>
      </c>
      <c r="E133" s="94">
        <f>IF(A133="","",PPMT($H$2/360*30.4,1,$H$1-A133+1,-B133)+Carátula!M174-Carátula!N174)</f>
        <v>55.998022181502797</v>
      </c>
    </row>
    <row r="134" spans="1:5" x14ac:dyDescent="0.25">
      <c r="A134" s="2">
        <f t="shared" si="2"/>
        <v>132</v>
      </c>
      <c r="B134" s="95">
        <f>Carátula!F175</f>
        <v>2386.6900455571831</v>
      </c>
      <c r="C134" s="94">
        <f>IF(A134="","",PPMT($H$2/360*30.4,A134,$H$1,-$H$3)+Carátula!M175-Carátula!N175)</f>
        <v>3156.7381368652436</v>
      </c>
      <c r="D134" s="94">
        <f>IF(A134="","",(PMT($H$2/360*30.4,$H$1,-$H$3)-(($H$2/360*30.4)*(B134))+Carátula!M175-Carátula!N175))</f>
        <v>7440.7918820186151</v>
      </c>
      <c r="E134" s="94">
        <f>IF(A134="","",PPMT($H$2/360*30.4,1,$H$1-A134+1,-B134)+Carátula!M175-Carátula!N175)</f>
        <v>13.868878623354858</v>
      </c>
    </row>
    <row r="135" spans="1:5" x14ac:dyDescent="0.25">
      <c r="A135" s="2">
        <f t="shared" si="2"/>
        <v>133</v>
      </c>
      <c r="B135" s="95">
        <f>Carátula!F176</f>
        <v>0</v>
      </c>
      <c r="C135" s="94">
        <f>IF(A135="","",PPMT($H$2/360*30.4,A135,$H$1,-$H$3)+Carátula!M176-Carátula!N176)</f>
        <v>3181.7423088986716</v>
      </c>
      <c r="D135" s="94">
        <f>IF(A135="","",(PMT($H$2/360*30.4,$H$1,-$H$3)-(($H$2/360*30.4)*(B135))+Carátula!M176-Carátula!N176))</f>
        <v>7459.6965886816906</v>
      </c>
      <c r="E135" s="94">
        <f>IF(A135="","",PPMT($H$2/360*30.4,1,$H$1-A135+1,-B135)+Carátula!M176-Carátula!N176)</f>
        <v>0</v>
      </c>
    </row>
    <row r="136" spans="1:5" x14ac:dyDescent="0.25">
      <c r="A136" s="2">
        <f t="shared" si="2"/>
        <v>134</v>
      </c>
      <c r="B136" s="95">
        <f>Carátula!F177</f>
        <v>0</v>
      </c>
      <c r="C136" s="94">
        <f>IF(A136="","",PPMT($H$2/360*30.4,A136,$H$1,-$H$3)+Carátula!M177-Carátula!N177)</f>
        <v>3206.9445362005345</v>
      </c>
      <c r="D136" s="94">
        <f>IF(A136="","",(PMT($H$2/360*30.4,$H$1,-$H$3)-(($H$2/360*30.4)*(B136))+Carátula!M177-Carátula!N177))</f>
        <v>7459.6965886816906</v>
      </c>
      <c r="E136" s="94">
        <f>IF(A136="","",PPMT($H$2/360*30.4,1,$H$1-A136+1,-B136)+Carátula!M177-Carátula!N177)</f>
        <v>0</v>
      </c>
    </row>
    <row r="137" spans="1:5" x14ac:dyDescent="0.25">
      <c r="A137" s="2">
        <f t="shared" si="2"/>
        <v>135</v>
      </c>
      <c r="B137" s="95">
        <f>Carátula!F178</f>
        <v>0</v>
      </c>
      <c r="C137" s="94">
        <f>IF(A137="","",PPMT($H$2/360*30.4,A137,$H$1,-$H$3)+Carátula!M178-Carátula!N178)</f>
        <v>3232.3463875446082</v>
      </c>
      <c r="D137" s="94">
        <f>IF(A137="","",(PMT($H$2/360*30.4,$H$1,-$H$3)-(($H$2/360*30.4)*(B137))+Carátula!M178-Carátula!N178))</f>
        <v>7459.6965886816906</v>
      </c>
      <c r="E137" s="94">
        <f>IF(A137="","",PPMT($H$2/360*30.4,1,$H$1-A137+1,-B137)+Carátula!M178-Carátula!N178)</f>
        <v>0</v>
      </c>
    </row>
    <row r="138" spans="1:5" x14ac:dyDescent="0.25">
      <c r="A138" s="2">
        <f t="shared" si="2"/>
        <v>136</v>
      </c>
      <c r="B138" s="95">
        <f>Carátula!F179</f>
        <v>0</v>
      </c>
      <c r="C138" s="94">
        <f>IF(A138="","",PPMT($H$2/360*30.4,A138,$H$1,-$H$3)+Carátula!M179-Carátula!N179)</f>
        <v>3257.9494441307502</v>
      </c>
      <c r="D138" s="94">
        <f>IF(A138="","",(PMT($H$2/360*30.4,$H$1,-$H$3)-(($H$2/360*30.4)*(B138))+Carátula!M179-Carátula!N179))</f>
        <v>7459.6965886816906</v>
      </c>
      <c r="E138" s="94">
        <f>IF(A138="","",PPMT($H$2/360*30.4,1,$H$1-A138+1,-B138)+Carátula!M179-Carátula!N179)</f>
        <v>0</v>
      </c>
    </row>
    <row r="139" spans="1:5" x14ac:dyDescent="0.25">
      <c r="A139" s="2">
        <f t="shared" si="2"/>
        <v>137</v>
      </c>
      <c r="B139" s="95">
        <f>Carátula!F180</f>
        <v>0</v>
      </c>
      <c r="C139" s="94">
        <f>IF(A139="","",PPMT($H$2/360*30.4,A139,$H$1,-$H$3)+Carátula!M180-Carátula!N180)</f>
        <v>3283.7552996833274</v>
      </c>
      <c r="D139" s="94">
        <f>IF(A139="","",(PMT($H$2/360*30.4,$H$1,-$H$3)-(($H$2/360*30.4)*(B139))+Carátula!M180-Carátula!N180))</f>
        <v>7459.6965886816906</v>
      </c>
      <c r="E139" s="94">
        <f>IF(A139="","",PPMT($H$2/360*30.4,1,$H$1-A139+1,-B139)+Carátula!M180-Carátula!N180)</f>
        <v>0</v>
      </c>
    </row>
    <row r="140" spans="1:5" x14ac:dyDescent="0.25">
      <c r="A140" s="2">
        <f t="shared" si="2"/>
        <v>138</v>
      </c>
      <c r="B140" s="95">
        <f>Carátula!F181</f>
        <v>0</v>
      </c>
      <c r="C140" s="94">
        <f>IF(A140="","",PPMT($H$2/360*30.4,A140,$H$1,-$H$3)+Carátula!M181-Carátula!N181)</f>
        <v>3309.7655605504192</v>
      </c>
      <c r="D140" s="94">
        <f>IF(A140="","",(PMT($H$2/360*30.4,$H$1,-$H$3)-(($H$2/360*30.4)*(B140))+Carátula!M181-Carátula!N181))</f>
        <v>7459.6965886816906</v>
      </c>
      <c r="E140" s="94">
        <f>IF(A140="","",PPMT($H$2/360*30.4,1,$H$1-A140+1,-B140)+Carátula!M181-Carátula!N181)</f>
        <v>0</v>
      </c>
    </row>
    <row r="141" spans="1:5" x14ac:dyDescent="0.25">
      <c r="A141" s="2">
        <f t="shared" si="2"/>
        <v>139</v>
      </c>
      <c r="B141" s="95">
        <f>Carátula!F182</f>
        <v>0</v>
      </c>
      <c r="C141" s="94">
        <f>IF(A141="","",PPMT($H$2/360*30.4,A141,$H$1,-$H$3)+Carátula!M182-Carátula!N182)</f>
        <v>3335.9818458038098</v>
      </c>
      <c r="D141" s="94">
        <f>IF(A141="","",(PMT($H$2/360*30.4,$H$1,-$H$3)-(($H$2/360*30.4)*(B141))+Carátula!M182-Carátula!N182))</f>
        <v>7459.6965886816906</v>
      </c>
      <c r="E141" s="94">
        <f>IF(A141="","",PPMT($H$2/360*30.4,1,$H$1-A141+1,-B141)+Carátula!M182-Carátula!N182)</f>
        <v>0</v>
      </c>
    </row>
    <row r="142" spans="1:5" x14ac:dyDescent="0.25">
      <c r="A142" s="2">
        <f t="shared" si="2"/>
        <v>140</v>
      </c>
      <c r="B142" s="95">
        <f>Carátula!F183</f>
        <v>0</v>
      </c>
      <c r="C142" s="94">
        <f>IF(A142="","",PPMT($H$2/360*30.4,A142,$H$1,-$H$3)+Carátula!M183-Carátula!N183)</f>
        <v>3362.4057873397724</v>
      </c>
      <c r="D142" s="94">
        <f>IF(A142="","",(PMT($H$2/360*30.4,$H$1,-$H$3)-(($H$2/360*30.4)*(B142))+Carátula!M183-Carátula!N183))</f>
        <v>7459.6965886816906</v>
      </c>
      <c r="E142" s="94">
        <f>IF(A142="","",PPMT($H$2/360*30.4,1,$H$1-A142+1,-B142)+Carátula!M183-Carátula!N183)</f>
        <v>0</v>
      </c>
    </row>
    <row r="143" spans="1:5" x14ac:dyDescent="0.25">
      <c r="A143" s="2">
        <f t="shared" si="2"/>
        <v>141</v>
      </c>
      <c r="B143" s="95">
        <f>Carátula!F184</f>
        <v>0</v>
      </c>
      <c r="C143" s="94">
        <f>IF(A143="","",PPMT($H$2/360*30.4,A143,$H$1,-$H$3)+Carátula!M184-Carátula!N184)</f>
        <v>3389.0390299806472</v>
      </c>
      <c r="D143" s="94">
        <f>IF(A143="","",(PMT($H$2/360*30.4,$H$1,-$H$3)-(($H$2/360*30.4)*(B143))+Carátula!M184-Carátula!N184))</f>
        <v>7459.6965886816906</v>
      </c>
      <c r="E143" s="94">
        <f>IF(A143="","",PPMT($H$2/360*30.4,1,$H$1-A143+1,-B143)+Carátula!M184-Carátula!N184)</f>
        <v>0</v>
      </c>
    </row>
    <row r="144" spans="1:5" x14ac:dyDescent="0.25">
      <c r="A144" s="2">
        <f t="shared" si="2"/>
        <v>142</v>
      </c>
      <c r="B144" s="95">
        <f>Carátula!F185</f>
        <v>0</v>
      </c>
      <c r="C144" s="94">
        <f>IF(A144="","",PPMT($H$2/360*30.4,A144,$H$1,-$H$3)+Carátula!M185-Carátula!N185)</f>
        <v>3415.8832315772324</v>
      </c>
      <c r="D144" s="94">
        <f>IF(A144="","",(PMT($H$2/360*30.4,$H$1,-$H$3)-(($H$2/360*30.4)*(B144))+Carátula!M185-Carátula!N185))</f>
        <v>7459.6965886816906</v>
      </c>
      <c r="E144" s="94">
        <f>IF(A144="","",PPMT($H$2/360*30.4,1,$H$1-A144+1,-B144)+Carátula!M185-Carátula!N185)</f>
        <v>0</v>
      </c>
    </row>
    <row r="145" spans="1:5" x14ac:dyDescent="0.25">
      <c r="A145" s="2">
        <f t="shared" si="2"/>
        <v>143</v>
      </c>
      <c r="B145" s="95">
        <f>Carátula!F186</f>
        <v>0</v>
      </c>
      <c r="C145" s="94">
        <f>IF(A145="","",PPMT($H$2/360*30.4,A145,$H$1,-$H$3)+Carátula!M186-Carátula!N186)</f>
        <v>3442.9400631119743</v>
      </c>
      <c r="D145" s="94">
        <f>IF(A145="","",(PMT($H$2/360*30.4,$H$1,-$H$3)-(($H$2/360*30.4)*(B145))+Carátula!M186-Carátula!N186))</f>
        <v>7459.6965886816906</v>
      </c>
      <c r="E145" s="94">
        <f>IF(A145="","",PPMT($H$2/360*30.4,1,$H$1-A145+1,-B145)+Carátula!M186-Carátula!N186)</f>
        <v>0</v>
      </c>
    </row>
    <row r="146" spans="1:5" x14ac:dyDescent="0.25">
      <c r="A146" s="2">
        <f t="shared" si="2"/>
        <v>144</v>
      </c>
      <c r="B146" s="95">
        <f>Carátula!F187</f>
        <v>0</v>
      </c>
      <c r="C146" s="94">
        <f>IF(A146="","",PPMT($H$2/360*30.4,A146,$H$1,-$H$3)+Carátula!M187-Carátula!N187)</f>
        <v>3470.2112088029885</v>
      </c>
      <c r="D146" s="94">
        <f>IF(A146="","",(PMT($H$2/360*30.4,$H$1,-$H$3)-(($H$2/360*30.4)*(B146))+Carátula!M187-Carátula!N187))</f>
        <v>7459.6965886816906</v>
      </c>
      <c r="E146" s="94">
        <f>IF(A146="","",PPMT($H$2/360*30.4,1,$H$1-A146+1,-B146)+Carátula!M187-Carátula!N187)</f>
        <v>0</v>
      </c>
    </row>
    <row r="147" spans="1:5" x14ac:dyDescent="0.25">
      <c r="A147" s="2">
        <f t="shared" si="2"/>
        <v>145</v>
      </c>
      <c r="B147" s="95">
        <f>Carátula!F188</f>
        <v>0</v>
      </c>
      <c r="C147" s="94">
        <f>IF(A147="","",PPMT($H$2/360*30.4,A147,$H$1,-$H$3)+Carátula!M188-Carátula!N188)</f>
        <v>3497.6983662088928</v>
      </c>
      <c r="D147" s="94">
        <f>IF(A147="","",(PMT($H$2/360*30.4,$H$1,-$H$3)-(($H$2/360*30.4)*(B147))+Carátula!M188-Carátula!N188))</f>
        <v>7459.6965886816906</v>
      </c>
      <c r="E147" s="94">
        <f>IF(A147="","",PPMT($H$2/360*30.4,1,$H$1-A147+1,-B147)+Carátula!M188-Carátula!N188)</f>
        <v>0</v>
      </c>
    </row>
    <row r="148" spans="1:5" x14ac:dyDescent="0.25">
      <c r="A148" s="2">
        <f t="shared" si="2"/>
        <v>146</v>
      </c>
      <c r="B148" s="95">
        <f>Carátula!F189</f>
        <v>0</v>
      </c>
      <c r="C148" s="94">
        <f>IF(A148="","",PPMT($H$2/360*30.4,A148,$H$1,-$H$3)+Carátula!M189-Carátula!N189)</f>
        <v>3525.403246334482</v>
      </c>
      <c r="D148" s="94">
        <f>IF(A148="","",(PMT($H$2/360*30.4,$H$1,-$H$3)-(($H$2/360*30.4)*(B148))+Carátula!M189-Carátula!N189))</f>
        <v>7459.6965886816906</v>
      </c>
      <c r="E148" s="94">
        <f>IF(A148="","",PPMT($H$2/360*30.4,1,$H$1-A148+1,-B148)+Carátula!M189-Carátula!N189)</f>
        <v>0</v>
      </c>
    </row>
    <row r="149" spans="1:5" x14ac:dyDescent="0.25">
      <c r="A149" s="2">
        <f t="shared" si="2"/>
        <v>147</v>
      </c>
      <c r="B149" s="95">
        <f>Carátula!F190</f>
        <v>0</v>
      </c>
      <c r="C149" s="94">
        <f>IF(A149="","",PPMT($H$2/360*30.4,A149,$H$1,-$H$3)+Carátula!M190-Carátula!N190)</f>
        <v>3553.3275737372255</v>
      </c>
      <c r="D149" s="94">
        <f>IF(A149="","",(PMT($H$2/360*30.4,$H$1,-$H$3)-(($H$2/360*30.4)*(B149))+Carátula!M190-Carátula!N190))</f>
        <v>7459.6965886816906</v>
      </c>
      <c r="E149" s="94">
        <f>IF(A149="","",PPMT($H$2/360*30.4,1,$H$1-A149+1,-B149)+Carátula!M190-Carátula!N190)</f>
        <v>0</v>
      </c>
    </row>
    <row r="150" spans="1:5" x14ac:dyDescent="0.25">
      <c r="A150" s="2">
        <f t="shared" si="2"/>
        <v>148</v>
      </c>
      <c r="B150" s="95">
        <f>Carátula!F191</f>
        <v>0</v>
      </c>
      <c r="C150" s="94">
        <f>IF(A150="","",PPMT($H$2/360*30.4,A150,$H$1,-$H$3)+Carátula!M191-Carátula!N191)</f>
        <v>3581.4730866346235</v>
      </c>
      <c r="D150" s="94">
        <f>IF(A150="","",(PMT($H$2/360*30.4,$H$1,-$H$3)-(($H$2/360*30.4)*(B150))+Carátula!M191-Carátula!N191))</f>
        <v>7459.6965886816906</v>
      </c>
      <c r="E150" s="94">
        <f>IF(A150="","",PPMT($H$2/360*30.4,1,$H$1-A150+1,-B150)+Carátula!M191-Carátula!N191)</f>
        <v>0</v>
      </c>
    </row>
    <row r="151" spans="1:5" x14ac:dyDescent="0.25">
      <c r="A151" s="2">
        <f t="shared" si="2"/>
        <v>149</v>
      </c>
      <c r="B151" s="95">
        <f>Carátula!F192</f>
        <v>0</v>
      </c>
      <c r="C151" s="94">
        <f>IF(A151="","",PPMT($H$2/360*30.4,A151,$H$1,-$H$3)+Carátula!M192-Carátula!N192)</f>
        <v>3609.8415370124026</v>
      </c>
      <c r="D151" s="94">
        <f>IF(A151="","",(PMT($H$2/360*30.4,$H$1,-$H$3)-(($H$2/360*30.4)*(B151))+Carátula!M192-Carátula!N192))</f>
        <v>7459.6965886816906</v>
      </c>
      <c r="E151" s="94">
        <f>IF(A151="","",PPMT($H$2/360*30.4,1,$H$1-A151+1,-B151)+Carátula!M192-Carátula!N192)</f>
        <v>0</v>
      </c>
    </row>
    <row r="152" spans="1:5" x14ac:dyDescent="0.25">
      <c r="A152" s="2">
        <f t="shared" si="2"/>
        <v>150</v>
      </c>
      <c r="B152" s="95">
        <f>Carátula!F193</f>
        <v>0</v>
      </c>
      <c r="C152" s="94">
        <f>IF(A152="","",PPMT($H$2/360*30.4,A152,$H$1,-$H$3)+Carátula!M193-Carátula!N193)</f>
        <v>3638.4346907335735</v>
      </c>
      <c r="D152" s="94">
        <f>IF(A152="","",(PMT($H$2/360*30.4,$H$1,-$H$3)-(($H$2/360*30.4)*(B152))+Carátula!M193-Carátula!N193))</f>
        <v>7459.6965886816906</v>
      </c>
      <c r="E152" s="94">
        <f>IF(A152="","",PPMT($H$2/360*30.4,1,$H$1-A152+1,-B152)+Carátula!M193-Carátula!N193)</f>
        <v>0</v>
      </c>
    </row>
    <row r="153" spans="1:5" x14ac:dyDescent="0.25">
      <c r="A153" s="2">
        <f t="shared" si="2"/>
        <v>151</v>
      </c>
      <c r="B153" s="95">
        <f>Carátula!F194</f>
        <v>0</v>
      </c>
      <c r="C153" s="94">
        <f>IF(A153="","",PPMT($H$2/360*30.4,A153,$H$1,-$H$3)+Carátula!M194-Carátula!N194)</f>
        <v>3667.2543276483525</v>
      </c>
      <c r="D153" s="94">
        <f>IF(A153="","",(PMT($H$2/360*30.4,$H$1,-$H$3)-(($H$2/360*30.4)*(B153))+Carátula!M194-Carátula!N194))</f>
        <v>7459.6965886816906</v>
      </c>
      <c r="E153" s="94">
        <f>IF(A153="","",PPMT($H$2/360*30.4,1,$H$1-A153+1,-B153)+Carátula!M194-Carátula!N194)</f>
        <v>0</v>
      </c>
    </row>
    <row r="154" spans="1:5" x14ac:dyDescent="0.25">
      <c r="A154" s="2">
        <f t="shared" si="2"/>
        <v>152</v>
      </c>
      <c r="B154" s="95">
        <f>Carátula!F195</f>
        <v>0</v>
      </c>
      <c r="C154" s="94">
        <f>IF(A154="","",PPMT($H$2/360*30.4,A154,$H$1,-$H$3)+Carátula!M195-Carátula!N195)</f>
        <v>3696.3022417049524</v>
      </c>
      <c r="D154" s="94">
        <f>IF(A154="","",(PMT($H$2/360*30.4,$H$1,-$H$3)-(($H$2/360*30.4)*(B154))+Carátula!M195-Carátula!N195))</f>
        <v>7459.6965886816906</v>
      </c>
      <c r="E154" s="94">
        <f>IF(A154="","",PPMT($H$2/360*30.4,1,$H$1-A154+1,-B154)+Carátula!M195-Carátula!N195)</f>
        <v>0</v>
      </c>
    </row>
    <row r="155" spans="1:5" x14ac:dyDescent="0.25">
      <c r="A155" s="2">
        <f t="shared" si="2"/>
        <v>153</v>
      </c>
      <c r="B155" s="95">
        <f>Carátula!F196</f>
        <v>0</v>
      </c>
      <c r="C155" s="94">
        <f>IF(A155="","",PPMT($H$2/360*30.4,A155,$H$1,-$H$3)+Carátula!M196-Carátula!N196)</f>
        <v>3725.5802410612482</v>
      </c>
      <c r="D155" s="94">
        <f>IF(A155="","",(PMT($H$2/360*30.4,$H$1,-$H$3)-(($H$2/360*30.4)*(B155))+Carátula!M196-Carátula!N196))</f>
        <v>7459.6965886816906</v>
      </c>
      <c r="E155" s="94">
        <f>IF(A155="","",PPMT($H$2/360*30.4,1,$H$1-A155+1,-B155)+Carátula!M196-Carátula!N196)</f>
        <v>0</v>
      </c>
    </row>
    <row r="156" spans="1:5" x14ac:dyDescent="0.25">
      <c r="A156" s="2">
        <f t="shared" si="2"/>
        <v>154</v>
      </c>
      <c r="B156" s="95">
        <f>Carátula!F197</f>
        <v>0</v>
      </c>
      <c r="C156" s="94">
        <f>IF(A156="","",PPMT($H$2/360*30.4,A156,$H$1,-$H$3)+Carátula!M197-Carátula!N197)</f>
        <v>3755.0901481973342</v>
      </c>
      <c r="D156" s="94">
        <f>IF(A156="","",(PMT($H$2/360*30.4,$H$1,-$H$3)-(($H$2/360*30.4)*(B156))+Carátula!M197-Carátula!N197))</f>
        <v>7459.6965886816906</v>
      </c>
      <c r="E156" s="94">
        <f>IF(A156="","",PPMT($H$2/360*30.4,1,$H$1-A156+1,-B156)+Carátula!M197-Carátula!N197)</f>
        <v>0</v>
      </c>
    </row>
    <row r="157" spans="1:5" x14ac:dyDescent="0.25">
      <c r="A157" s="2">
        <f t="shared" si="2"/>
        <v>155</v>
      </c>
      <c r="B157" s="95">
        <f>Carátula!F198</f>
        <v>0</v>
      </c>
      <c r="C157" s="94">
        <f>IF(A157="","",PPMT($H$2/360*30.4,A157,$H$1,-$H$3)+Carátula!M198-Carátula!N198)</f>
        <v>3784.8338000289668</v>
      </c>
      <c r="D157" s="94">
        <f>IF(A157="","",(PMT($H$2/360*30.4,$H$1,-$H$3)-(($H$2/360*30.4)*(B157))+Carátula!M198-Carátula!N198))</f>
        <v>7459.6965886816906</v>
      </c>
      <c r="E157" s="94">
        <f>IF(A157="","",PPMT($H$2/360*30.4,1,$H$1-A157+1,-B157)+Carátula!M198-Carátula!N198)</f>
        <v>0</v>
      </c>
    </row>
    <row r="158" spans="1:5" x14ac:dyDescent="0.25">
      <c r="A158" s="2">
        <f t="shared" si="2"/>
        <v>156</v>
      </c>
      <c r="B158" s="95">
        <f>Carátula!F199</f>
        <v>0</v>
      </c>
      <c r="C158" s="94">
        <f>IF(A158="","",PPMT($H$2/360*30.4,A158,$H$1,-$H$3)+Carátula!M199-Carátula!N199)</f>
        <v>3814.8130480219079</v>
      </c>
      <c r="D158" s="94">
        <f>IF(A158="","",(PMT($H$2/360*30.4,$H$1,-$H$3)-(($H$2/360*30.4)*(B158))+Carátula!M199-Carátula!N199))</f>
        <v>7459.6965886816906</v>
      </c>
      <c r="E158" s="94">
        <f>IF(A158="","",PPMT($H$2/360*30.4,1,$H$1-A158+1,-B158)+Carátula!M199-Carátula!N199)</f>
        <v>0</v>
      </c>
    </row>
    <row r="159" spans="1:5" x14ac:dyDescent="0.25">
      <c r="A159" s="2">
        <f t="shared" si="2"/>
        <v>157</v>
      </c>
      <c r="B159" s="95">
        <f>Carátula!F200</f>
        <v>0</v>
      </c>
      <c r="C159" s="94">
        <f>IF(A159="","",PPMT($H$2/360*30.4,A159,$H$1,-$H$3)+Carátula!M200-Carátula!N200)</f>
        <v>3845.0297583071724</v>
      </c>
      <c r="D159" s="94">
        <f>IF(A159="","",(PMT($H$2/360*30.4,$H$1,-$H$3)-(($H$2/360*30.4)*(B159))+Carátula!M200-Carátula!N200))</f>
        <v>7459.6965886816906</v>
      </c>
      <c r="E159" s="94">
        <f>IF(A159="","",PPMT($H$2/360*30.4,1,$H$1-A159+1,-B159)+Carátula!M200-Carátula!N200)</f>
        <v>0</v>
      </c>
    </row>
    <row r="160" spans="1:5" x14ac:dyDescent="0.25">
      <c r="A160" s="2">
        <f t="shared" si="2"/>
        <v>158</v>
      </c>
      <c r="B160" s="95">
        <f>Carátula!F201</f>
        <v>0</v>
      </c>
      <c r="C160" s="94">
        <f>IF(A160="","",PPMT($H$2/360*30.4,A160,$H$1,-$H$3)+Carátula!M201-Carátula!N201)</f>
        <v>3875.4858117971949</v>
      </c>
      <c r="D160" s="94">
        <f>IF(A160="","",(PMT($H$2/360*30.4,$H$1,-$H$3)-(($H$2/360*30.4)*(B160))+Carátula!M201-Carátula!N201))</f>
        <v>7459.6965886816906</v>
      </c>
      <c r="E160" s="94">
        <f>IF(A160="","",PPMT($H$2/360*30.4,1,$H$1-A160+1,-B160)+Carátula!M201-Carátula!N201)</f>
        <v>0</v>
      </c>
    </row>
    <row r="161" spans="1:5" x14ac:dyDescent="0.25">
      <c r="A161" s="2">
        <f t="shared" si="2"/>
        <v>159</v>
      </c>
      <c r="B161" s="95">
        <f>Carátula!F202</f>
        <v>0</v>
      </c>
      <c r="C161" s="94">
        <f>IF(A161="","",PPMT($H$2/360*30.4,A161,$H$1,-$H$3)+Carátula!M202-Carátula!N202)</f>
        <v>3906.1831043029056</v>
      </c>
      <c r="D161" s="94">
        <f>IF(A161="","",(PMT($H$2/360*30.4,$H$1,-$H$3)-(($H$2/360*30.4)*(B161))+Carátula!M202-Carátula!N202))</f>
        <v>7459.6965886816906</v>
      </c>
      <c r="E161" s="94">
        <f>IF(A161="","",PPMT($H$2/360*30.4,1,$H$1-A161+1,-B161)+Carátula!M202-Carátula!N202)</f>
        <v>0</v>
      </c>
    </row>
    <row r="162" spans="1:5" x14ac:dyDescent="0.25">
      <c r="A162" s="2">
        <f t="shared" si="2"/>
        <v>160</v>
      </c>
      <c r="B162" s="95">
        <f>Carátula!F203</f>
        <v>0</v>
      </c>
      <c r="C162" s="94">
        <f>IF(A162="","",PPMT($H$2/360*30.4,A162,$H$1,-$H$3)+Carátula!M203-Carátula!N203)</f>
        <v>3937.1235466517442</v>
      </c>
      <c r="D162" s="94">
        <f>IF(A162="","",(PMT($H$2/360*30.4,$H$1,-$H$3)-(($H$2/360*30.4)*(B162))+Carátula!M203-Carátula!N203))</f>
        <v>7459.6965886816906</v>
      </c>
      <c r="E162" s="94">
        <f>IF(A162="","",PPMT($H$2/360*30.4,1,$H$1-A162+1,-B162)+Carátula!M203-Carátula!N203)</f>
        <v>0</v>
      </c>
    </row>
    <row r="163" spans="1:5" x14ac:dyDescent="0.25">
      <c r="A163" s="2">
        <f t="shared" si="2"/>
        <v>161</v>
      </c>
      <c r="B163" s="95">
        <f>Carátula!F204</f>
        <v>0</v>
      </c>
      <c r="C163" s="94">
        <f>IF(A163="","",PPMT($H$2/360*30.4,A163,$H$1,-$H$3)+Carátula!M204-Carátula!N204)</f>
        <v>3968.3090648066009</v>
      </c>
      <c r="D163" s="94">
        <f>IF(A163="","",(PMT($H$2/360*30.4,$H$1,-$H$3)-(($H$2/360*30.4)*(B163))+Carátula!M204-Carátula!N204))</f>
        <v>7459.6965886816906</v>
      </c>
      <c r="E163" s="94">
        <f>IF(A163="","",PPMT($H$2/360*30.4,1,$H$1-A163+1,-B163)+Carátula!M204-Carátula!N204)</f>
        <v>0</v>
      </c>
    </row>
    <row r="164" spans="1:5" x14ac:dyDescent="0.25">
      <c r="A164" s="2">
        <f t="shared" si="2"/>
        <v>162</v>
      </c>
      <c r="B164" s="95">
        <f>Carátula!F205</f>
        <v>0</v>
      </c>
      <c r="C164" s="94">
        <f>IF(A164="","",PPMT($H$2/360*30.4,A164,$H$1,-$H$3)+Carátula!M205-Carátula!N205)</f>
        <v>3999.7415999857039</v>
      </c>
      <c r="D164" s="94">
        <f>IF(A164="","",(PMT($H$2/360*30.4,$H$1,-$H$3)-(($H$2/360*30.4)*(B164))+Carátula!M205-Carátula!N205))</f>
        <v>7459.6965886816906</v>
      </c>
      <c r="E164" s="94">
        <f>IF(A164="","",PPMT($H$2/360*30.4,1,$H$1-A164+1,-B164)+Carátula!M205-Carátula!N205)</f>
        <v>0</v>
      </c>
    </row>
    <row r="165" spans="1:5" x14ac:dyDescent="0.25">
      <c r="A165" s="2">
        <f t="shared" si="2"/>
        <v>163</v>
      </c>
      <c r="B165" s="95">
        <f>Carátula!F206</f>
        <v>0</v>
      </c>
      <c r="C165" s="94">
        <f>IF(A165="","",PPMT($H$2/360*30.4,A165,$H$1,-$H$3)+Carátula!M206-Carátula!N206)</f>
        <v>4031.4231087834578</v>
      </c>
      <c r="D165" s="94">
        <f>IF(A165="","",(PMT($H$2/360*30.4,$H$1,-$H$3)-(($H$2/360*30.4)*(B165))+Carátula!M206-Carátula!N206))</f>
        <v>7459.6965886816906</v>
      </c>
      <c r="E165" s="94">
        <f>IF(A165="","",PPMT($H$2/360*30.4,1,$H$1-A165+1,-B165)+Carátula!M206-Carátula!N206)</f>
        <v>0</v>
      </c>
    </row>
    <row r="166" spans="1:5" x14ac:dyDescent="0.25">
      <c r="A166" s="2">
        <f t="shared" si="2"/>
        <v>164</v>
      </c>
      <c r="B166" s="95">
        <f>Carátula!F207</f>
        <v>0</v>
      </c>
      <c r="C166" s="94">
        <f>IF(A166="","",PPMT($H$2/360*30.4,A166,$H$1,-$H$3)+Carátula!M207-Carátula!N207)</f>
        <v>4063.3555632922307</v>
      </c>
      <c r="D166" s="94">
        <f>IF(A166="","",(PMT($H$2/360*30.4,$H$1,-$H$3)-(($H$2/360*30.4)*(B166))+Carátula!M207-Carátula!N207))</f>
        <v>7459.6965886816906</v>
      </c>
      <c r="E166" s="94">
        <f>IF(A166="","",PPMT($H$2/360*30.4,1,$H$1-A166+1,-B166)+Carátula!M207-Carátula!N207)</f>
        <v>0</v>
      </c>
    </row>
    <row r="167" spans="1:5" x14ac:dyDescent="0.25">
      <c r="A167" s="2">
        <f t="shared" si="2"/>
        <v>165</v>
      </c>
      <c r="B167" s="95">
        <f>Carátula!F208</f>
        <v>0</v>
      </c>
      <c r="C167" s="94">
        <f>IF(A167="","",PPMT($H$2/360*30.4,A167,$H$1,-$H$3)+Carátula!M208-Carátula!N208)</f>
        <v>4095.5409512251176</v>
      </c>
      <c r="D167" s="94">
        <f>IF(A167="","",(PMT($H$2/360*30.4,$H$1,-$H$3)-(($H$2/360*30.4)*(B167))+Carátula!M208-Carátula!N208))</f>
        <v>7459.6965886816906</v>
      </c>
      <c r="E167" s="94">
        <f>IF(A167="","",PPMT($H$2/360*30.4,1,$H$1-A167+1,-B167)+Carátula!M208-Carátula!N208)</f>
        <v>0</v>
      </c>
    </row>
    <row r="168" spans="1:5" x14ac:dyDescent="0.25">
      <c r="A168" s="2">
        <f t="shared" si="2"/>
        <v>166</v>
      </c>
      <c r="B168" s="95">
        <f>Carátula!F209</f>
        <v>0</v>
      </c>
      <c r="C168" s="94">
        <f>IF(A168="","",PPMT($H$2/360*30.4,A168,$H$1,-$H$3)+Carátula!M209-Carátula!N209)</f>
        <v>4127.9812760396653</v>
      </c>
      <c r="D168" s="94">
        <f>IF(A168="","",(PMT($H$2/360*30.4,$H$1,-$H$3)-(($H$2/360*30.4)*(B168))+Carátula!M209-Carátula!N209))</f>
        <v>7459.6965886816906</v>
      </c>
      <c r="E168" s="94">
        <f>IF(A168="","",PPMT($H$2/360*30.4,1,$H$1-A168+1,-B168)+Carátula!M209-Carátula!N209)</f>
        <v>0</v>
      </c>
    </row>
    <row r="169" spans="1:5" x14ac:dyDescent="0.25">
      <c r="A169" s="2">
        <f t="shared" si="2"/>
        <v>167</v>
      </c>
      <c r="B169" s="95">
        <f>Carátula!F210</f>
        <v>0</v>
      </c>
      <c r="C169" s="94">
        <f>IF(A169="","",PPMT($H$2/360*30.4,A169,$H$1,-$H$3)+Carátula!M210-Carátula!N210)</f>
        <v>4160.6785570625889</v>
      </c>
      <c r="D169" s="94">
        <f>IF(A169="","",(PMT($H$2/360*30.4,$H$1,-$H$3)-(($H$2/360*30.4)*(B169))+Carátula!M210-Carátula!N210))</f>
        <v>7459.6965886816906</v>
      </c>
      <c r="E169" s="94">
        <f>IF(A169="","",PPMT($H$2/360*30.4,1,$H$1-A169+1,-B169)+Carátula!M210-Carátula!N210)</f>
        <v>0</v>
      </c>
    </row>
    <row r="170" spans="1:5" x14ac:dyDescent="0.25">
      <c r="A170" s="2">
        <f t="shared" si="2"/>
        <v>168</v>
      </c>
      <c r="B170" s="95">
        <f>Carátula!F211</f>
        <v>0</v>
      </c>
      <c r="C170" s="94">
        <f>IF(A170="","",PPMT($H$2/360*30.4,A170,$H$1,-$H$3)+Carátula!M211-Carátula!N211)</f>
        <v>4193.6348296154647</v>
      </c>
      <c r="D170" s="94">
        <f>IF(A170="","",(PMT($H$2/360*30.4,$H$1,-$H$3)-(($H$2/360*30.4)*(B170))+Carátula!M211-Carátula!N211))</f>
        <v>7459.6965886816906</v>
      </c>
      <c r="E170" s="94">
        <f>IF(A170="","",PPMT($H$2/360*30.4,1,$H$1-A170+1,-B170)+Carátula!M211-Carátula!N211)</f>
        <v>0</v>
      </c>
    </row>
    <row r="171" spans="1:5" x14ac:dyDescent="0.25">
      <c r="A171" s="2">
        <f t="shared" si="2"/>
        <v>169</v>
      </c>
      <c r="B171" s="95">
        <f>Carátula!F212</f>
        <v>0</v>
      </c>
      <c r="C171" s="94">
        <f>IF(A171="","",PPMT($H$2/360*30.4,A171,$H$1,-$H$3)+Carátula!M212-Carátula!N212)</f>
        <v>4226.8521451414226</v>
      </c>
      <c r="D171" s="94">
        <f>IF(A171="","",(PMT($H$2/360*30.4,$H$1,-$H$3)-(($H$2/360*30.4)*(B171))+Carátula!M212-Carátula!N212))</f>
        <v>7459.6965886816906</v>
      </c>
      <c r="E171" s="94">
        <f>IF(A171="","",PPMT($H$2/360*30.4,1,$H$1-A171+1,-B171)+Carátula!M212-Carátula!N212)</f>
        <v>0</v>
      </c>
    </row>
    <row r="172" spans="1:5" x14ac:dyDescent="0.25">
      <c r="A172" s="2">
        <f t="shared" si="2"/>
        <v>170</v>
      </c>
      <c r="B172" s="95">
        <f>Carátula!F213</f>
        <v>0</v>
      </c>
      <c r="C172" s="94">
        <f>IF(A172="","",PPMT($H$2/360*30.4,A172,$H$1,-$H$3)+Carátula!M213-Carátula!N213)</f>
        <v>4260.3325713328495</v>
      </c>
      <c r="D172" s="94">
        <f>IF(A172="","",(PMT($H$2/360*30.4,$H$1,-$H$3)-(($H$2/360*30.4)*(B172))+Carátula!M213-Carátula!N213))</f>
        <v>7459.6965886816906</v>
      </c>
      <c r="E172" s="94">
        <f>IF(A172="","",PPMT($H$2/360*30.4,1,$H$1-A172+1,-B172)+Carátula!M213-Carátula!N213)</f>
        <v>0</v>
      </c>
    </row>
    <row r="173" spans="1:5" x14ac:dyDescent="0.25">
      <c r="A173" s="2">
        <f t="shared" si="2"/>
        <v>171</v>
      </c>
      <c r="B173" s="95">
        <f>Carátula!F214</f>
        <v>0</v>
      </c>
      <c r="C173" s="94">
        <f>IF(A173="","",PPMT($H$2/360*30.4,A173,$H$1,-$H$3)+Carátula!M214-Carátula!N214)</f>
        <v>4294.0781922600918</v>
      </c>
      <c r="D173" s="94">
        <f>IF(A173="","",(PMT($H$2/360*30.4,$H$1,-$H$3)-(($H$2/360*30.4)*(B173))+Carátula!M214-Carátula!N214))</f>
        <v>7459.6965886816906</v>
      </c>
      <c r="E173" s="94">
        <f>IF(A173="","",PPMT($H$2/360*30.4,1,$H$1-A173+1,-B173)+Carátula!M214-Carátula!N214)</f>
        <v>0</v>
      </c>
    </row>
    <row r="174" spans="1:5" x14ac:dyDescent="0.25">
      <c r="A174" s="2">
        <f t="shared" si="2"/>
        <v>172</v>
      </c>
      <c r="B174" s="95">
        <f>Carátula!F215</f>
        <v>0</v>
      </c>
      <c r="C174" s="94">
        <f>IF(A174="","",PPMT($H$2/360*30.4,A174,$H$1,-$H$3)+Carátula!M215-Carátula!N215)</f>
        <v>4328.091108501184</v>
      </c>
      <c r="D174" s="94">
        <f>IF(A174="","",(PMT($H$2/360*30.4,$H$1,-$H$3)-(($H$2/360*30.4)*(B174))+Carátula!M215-Carátula!N215))</f>
        <v>7459.6965886816906</v>
      </c>
      <c r="E174" s="94">
        <f>IF(A174="","",PPMT($H$2/360*30.4,1,$H$1-A174+1,-B174)+Carátula!M215-Carátula!N215)</f>
        <v>0</v>
      </c>
    </row>
    <row r="175" spans="1:5" x14ac:dyDescent="0.25">
      <c r="A175" s="2">
        <f t="shared" si="2"/>
        <v>173</v>
      </c>
      <c r="B175" s="95">
        <f>Carátula!F216</f>
        <v>0</v>
      </c>
      <c r="C175" s="94">
        <f>IF(A175="","",PPMT($H$2/360*30.4,A175,$H$1,-$H$3)+Carátula!M216-Carátula!N216)</f>
        <v>4362.3734372726112</v>
      </c>
      <c r="D175" s="94">
        <f>IF(A175="","",(PMT($H$2/360*30.4,$H$1,-$H$3)-(($H$2/360*30.4)*(B175))+Carátula!M216-Carátula!N216))</f>
        <v>7459.6965886816906</v>
      </c>
      <c r="E175" s="94">
        <f>IF(A175="","",PPMT($H$2/360*30.4,1,$H$1-A175+1,-B175)+Carátula!M216-Carátula!N216)</f>
        <v>0</v>
      </c>
    </row>
    <row r="176" spans="1:5" x14ac:dyDescent="0.25">
      <c r="A176" s="2">
        <f t="shared" si="2"/>
        <v>174</v>
      </c>
      <c r="B176" s="95">
        <f>Carátula!F217</f>
        <v>0</v>
      </c>
      <c r="C176" s="94">
        <f>IF(A176="","",PPMT($H$2/360*30.4,A176,$H$1,-$H$3)+Carátula!M217-Carátula!N217)</f>
        <v>4396.9273125610871</v>
      </c>
      <c r="D176" s="94">
        <f>IF(A176="","",(PMT($H$2/360*30.4,$H$1,-$H$3)-(($H$2/360*30.4)*(B176))+Carátula!M217-Carátula!N217))</f>
        <v>7459.6965886816906</v>
      </c>
      <c r="E176" s="94">
        <f>IF(A176="","",PPMT($H$2/360*30.4,1,$H$1-A176+1,-B176)+Carátula!M217-Carátula!N217)</f>
        <v>0</v>
      </c>
    </row>
    <row r="177" spans="1:5" x14ac:dyDescent="0.25">
      <c r="A177" s="2">
        <f t="shared" si="2"/>
        <v>175</v>
      </c>
      <c r="B177" s="95">
        <f>Carátula!F218</f>
        <v>0</v>
      </c>
      <c r="C177" s="94">
        <f>IF(A177="","",PPMT($H$2/360*30.4,A177,$H$1,-$H$3)+Carátula!M218-Carátula!N218)</f>
        <v>4431.754885256405</v>
      </c>
      <c r="D177" s="94">
        <f>IF(A177="","",(PMT($H$2/360*30.4,$H$1,-$H$3)-(($H$2/360*30.4)*(B177))+Carátula!M218-Carátula!N218))</f>
        <v>7459.6965886816906</v>
      </c>
      <c r="E177" s="94">
        <f>IF(A177="","",PPMT($H$2/360*30.4,1,$H$1-A177+1,-B177)+Carátula!M218-Carátula!N218)</f>
        <v>0</v>
      </c>
    </row>
    <row r="178" spans="1:5" x14ac:dyDescent="0.25">
      <c r="A178" s="2">
        <f t="shared" si="2"/>
        <v>176</v>
      </c>
      <c r="B178" s="95">
        <f>Carátula!F219</f>
        <v>0</v>
      </c>
      <c r="C178" s="94">
        <f>IF(A178="","",PPMT($H$2/360*30.4,A178,$H$1,-$H$3)+Carátula!M219-Carátula!N219)</f>
        <v>4466.8583232853116</v>
      </c>
      <c r="D178" s="94">
        <f>IF(A178="","",(PMT($H$2/360*30.4,$H$1,-$H$3)-(($H$2/360*30.4)*(B178))+Carátula!M219-Carátula!N219))</f>
        <v>7459.6965886816906</v>
      </c>
      <c r="E178" s="94">
        <f>IF(A178="","",PPMT($H$2/360*30.4,1,$H$1-A178+1,-B178)+Carátula!M219-Carátula!N219)</f>
        <v>0</v>
      </c>
    </row>
    <row r="179" spans="1:5" x14ac:dyDescent="0.25">
      <c r="A179" s="2">
        <f t="shared" si="2"/>
        <v>177</v>
      </c>
      <c r="B179" s="95">
        <f>Carátula!F220</f>
        <v>0</v>
      </c>
      <c r="C179" s="94">
        <f>IF(A179="","",PPMT($H$2/360*30.4,A179,$H$1,-$H$3)+Carátula!M220-Carátula!N220)</f>
        <v>4502.2398117464618</v>
      </c>
      <c r="D179" s="94">
        <f>IF(A179="","",(PMT($H$2/360*30.4,$H$1,-$H$3)-(($H$2/360*30.4)*(B179))+Carátula!M220-Carátula!N220))</f>
        <v>7459.6965886816906</v>
      </c>
      <c r="E179" s="94">
        <f>IF(A179="","",PPMT($H$2/360*30.4,1,$H$1-A179+1,-B179)+Carátula!M220-Carátula!N220)</f>
        <v>0</v>
      </c>
    </row>
    <row r="180" spans="1:5" x14ac:dyDescent="0.25">
      <c r="A180" s="2">
        <f t="shared" si="2"/>
        <v>178</v>
      </c>
      <c r="B180" s="95">
        <f>Carátula!F221</f>
        <v>0</v>
      </c>
      <c r="C180" s="94">
        <f>IF(A180="","",PPMT($H$2/360*30.4,A180,$H$1,-$H$3)+Carátula!M221-Carátula!N221)</f>
        <v>4537.9015530464385</v>
      </c>
      <c r="D180" s="94">
        <f>IF(A180="","",(PMT($H$2/360*30.4,$H$1,-$H$3)-(($H$2/360*30.4)*(B180))+Carátula!M221-Carátula!N221))</f>
        <v>7459.6965886816906</v>
      </c>
      <c r="E180" s="94">
        <f>IF(A180="","",PPMT($H$2/360*30.4,1,$H$1-A180+1,-B180)+Carátula!M221-Carátula!N221)</f>
        <v>0</v>
      </c>
    </row>
    <row r="181" spans="1:5" x14ac:dyDescent="0.25">
      <c r="A181" s="2">
        <f t="shared" si="2"/>
        <v>179</v>
      </c>
      <c r="B181" s="95">
        <f>Carátula!F222</f>
        <v>0</v>
      </c>
      <c r="C181" s="94">
        <f>IF(A181="","",PPMT($H$2/360*30.4,A181,$H$1,-$H$3)+Carátula!M222-Carátula!N222)</f>
        <v>4573.8457670368352</v>
      </c>
      <c r="D181" s="94">
        <f>IF(A181="","",(PMT($H$2/360*30.4,$H$1,-$H$3)-(($H$2/360*30.4)*(B181))+Carátula!M222-Carátula!N222))</f>
        <v>7459.6965886816906</v>
      </c>
      <c r="E181" s="94">
        <f>IF(A181="","",PPMT($H$2/360*30.4,1,$H$1-A181+1,-B181)+Carátula!M222-Carátula!N222)</f>
        <v>0</v>
      </c>
    </row>
    <row r="182" spans="1:5" x14ac:dyDescent="0.25">
      <c r="A182" s="2">
        <f t="shared" si="2"/>
        <v>180</v>
      </c>
      <c r="B182" s="95">
        <f>Carátula!F223</f>
        <v>0</v>
      </c>
      <c r="C182" s="94">
        <f>IF(A182="","",PPMT($H$2/360*30.4,A182,$H$1,-$H$3)+Carátula!M223-Carátula!N223)</f>
        <v>4610.0746911524493</v>
      </c>
      <c r="D182" s="94">
        <f>IF(A182="","",(PMT($H$2/360*30.4,$H$1,-$H$3)-(($H$2/360*30.4)*(B182))+Carátula!M223-Carátula!N223))</f>
        <v>7459.6965886816906</v>
      </c>
      <c r="E182" s="94">
        <f>IF(A182="","",PPMT($H$2/360*30.4,1,$H$1-A182+1,-B182)+Carátula!M223-Carátula!N223)</f>
        <v>0</v>
      </c>
    </row>
    <row r="183" spans="1:5" x14ac:dyDescent="0.25">
      <c r="A183" s="2">
        <f t="shared" si="2"/>
        <v>181</v>
      </c>
      <c r="B183" s="95">
        <f>Carátula!F224</f>
        <v>0</v>
      </c>
      <c r="C183" s="94">
        <f>IF(A183="","",PPMT($H$2/360*30.4,A183,$H$1,-$H$3)+Carátula!M224-Carátula!N224)</f>
        <v>4646.5905805505463</v>
      </c>
      <c r="D183" s="94">
        <f>IF(A183="","",(PMT($H$2/360*30.4,$H$1,-$H$3)-(($H$2/360*30.4)*(B183))+Carátula!M224-Carátula!N224))</f>
        <v>7459.6965886816906</v>
      </c>
      <c r="E183" s="94">
        <f>IF(A183="","",PPMT($H$2/360*30.4,1,$H$1-A183+1,-B183)+Carátula!M224-Carátula!N224)</f>
        <v>0</v>
      </c>
    </row>
    <row r="184" spans="1:5" x14ac:dyDescent="0.25">
      <c r="A184" s="2">
        <f t="shared" si="2"/>
        <v>182</v>
      </c>
      <c r="B184" s="95">
        <f>Carátula!F225</f>
        <v>0</v>
      </c>
      <c r="C184" s="94">
        <f>IF(A184="","",PPMT($H$2/360*30.4,A184,$H$1,-$H$3)+Carátula!M225-Carátula!N225)</f>
        <v>4683.3957082512452</v>
      </c>
      <c r="D184" s="94">
        <f>IF(A184="","",(PMT($H$2/360*30.4,$H$1,-$H$3)-(($H$2/360*30.4)*(B184))+Carátula!M225-Carátula!N225))</f>
        <v>7459.6965886816906</v>
      </c>
      <c r="E184" s="94">
        <f>IF(A184="","",PPMT($H$2/360*30.4,1,$H$1-A184+1,-B184)+Carátula!M225-Carátula!N225)</f>
        <v>0</v>
      </c>
    </row>
    <row r="185" spans="1:5" x14ac:dyDescent="0.25">
      <c r="A185" s="2">
        <f t="shared" si="2"/>
        <v>183</v>
      </c>
      <c r="B185" s="95">
        <f>Carátula!F226</f>
        <v>0</v>
      </c>
      <c r="C185" s="94">
        <f>IF(A185="","",PPMT($H$2/360*30.4,A185,$H$1,-$H$3)+Carátula!M226-Carátula!N226)</f>
        <v>4720.4923652790021</v>
      </c>
      <c r="D185" s="94">
        <f>IF(A185="","",(PMT($H$2/360*30.4,$H$1,-$H$3)-(($H$2/360*30.4)*(B185))+Carátula!M226-Carátula!N226))</f>
        <v>7459.6965886816906</v>
      </c>
      <c r="E185" s="94">
        <f>IF(A185="","",PPMT($H$2/360*30.4,1,$H$1-A185+1,-B185)+Carátula!M226-Carátula!N226)</f>
        <v>0</v>
      </c>
    </row>
    <row r="186" spans="1:5" x14ac:dyDescent="0.25">
      <c r="A186" s="2">
        <f t="shared" si="2"/>
        <v>184</v>
      </c>
      <c r="B186" s="95">
        <f>Carátula!F227</f>
        <v>0</v>
      </c>
      <c r="C186" s="94">
        <f>IF(A186="","",PPMT($H$2/360*30.4,A186,$H$1,-$H$3)+Carátula!M227-Carátula!N227)</f>
        <v>4757.8828608052245</v>
      </c>
      <c r="D186" s="94">
        <f>IF(A186="","",(PMT($H$2/360*30.4,$H$1,-$H$3)-(($H$2/360*30.4)*(B186))+Carátula!M227-Carátula!N227))</f>
        <v>7459.6965886816906</v>
      </c>
      <c r="E186" s="94">
        <f>IF(A186="","",PPMT($H$2/360*30.4,1,$H$1-A186+1,-B186)+Carátula!M227-Carátula!N227)</f>
        <v>0</v>
      </c>
    </row>
    <row r="187" spans="1:5" x14ac:dyDescent="0.25">
      <c r="A187" s="2">
        <f t="shared" si="2"/>
        <v>185</v>
      </c>
      <c r="B187" s="95">
        <f>Carátula!F228</f>
        <v>0</v>
      </c>
      <c r="C187" s="94">
        <f>IF(A187="","",PPMT($H$2/360*30.4,A187,$H$1,-$H$3)+Carátula!M228-Carátula!N228)</f>
        <v>4795.5695222920122</v>
      </c>
      <c r="D187" s="94">
        <f>IF(A187="","",(PMT($H$2/360*30.4,$H$1,-$H$3)-(($H$2/360*30.4)*(B187))+Carátula!M228-Carátula!N228))</f>
        <v>7459.6965886816906</v>
      </c>
      <c r="E187" s="94">
        <f>IF(A187="","",PPMT($H$2/360*30.4,1,$H$1-A187+1,-B187)+Carátula!M228-Carátula!N228)</f>
        <v>0</v>
      </c>
    </row>
    <row r="188" spans="1:5" x14ac:dyDescent="0.25">
      <c r="A188" s="2">
        <f t="shared" si="2"/>
        <v>186</v>
      </c>
      <c r="B188" s="95">
        <f>Carátula!F229</f>
        <v>0</v>
      </c>
      <c r="C188" s="94">
        <f>IF(A188="","",PPMT($H$2/360*30.4,A188,$H$1,-$H$3)+Carátula!M229-Carátula!N229)</f>
        <v>4833.554695637029</v>
      </c>
      <c r="D188" s="94">
        <f>IF(A188="","",(PMT($H$2/360*30.4,$H$1,-$H$3)-(($H$2/360*30.4)*(B188))+Carátula!M229-Carátula!N229))</f>
        <v>7459.6965886816906</v>
      </c>
      <c r="E188" s="94">
        <f>IF(A188="","",PPMT($H$2/360*30.4,1,$H$1-A188+1,-B188)+Carátula!M229-Carátula!N229)</f>
        <v>0</v>
      </c>
    </row>
    <row r="189" spans="1:5" x14ac:dyDescent="0.25">
      <c r="A189" s="2">
        <f t="shared" si="2"/>
        <v>187</v>
      </c>
      <c r="B189" s="95">
        <f>Carátula!F230</f>
        <v>0</v>
      </c>
      <c r="C189" s="94">
        <f>IF(A189="","",PPMT($H$2/360*30.4,A189,$H$1,-$H$3)+Carátula!M230-Carátula!N230)</f>
        <v>4871.8407453195368</v>
      </c>
      <c r="D189" s="94">
        <f>IF(A189="","",(PMT($H$2/360*30.4,$H$1,-$H$3)-(($H$2/360*30.4)*(B189))+Carátula!M230-Carátula!N230))</f>
        <v>7459.6965886816906</v>
      </c>
      <c r="E189" s="94">
        <f>IF(A189="","",PPMT($H$2/360*30.4,1,$H$1-A189+1,-B189)+Carátula!M230-Carátula!N230)</f>
        <v>0</v>
      </c>
    </row>
    <row r="190" spans="1:5" x14ac:dyDescent="0.25">
      <c r="A190" s="2">
        <f t="shared" si="2"/>
        <v>188</v>
      </c>
      <c r="B190" s="95">
        <f>Carátula!F231</f>
        <v>0</v>
      </c>
      <c r="C190" s="94">
        <f>IF(A190="","",PPMT($H$2/360*30.4,A190,$H$1,-$H$3)+Carátula!M231-Carátula!N231)</f>
        <v>4910.4300545475744</v>
      </c>
      <c r="D190" s="94">
        <f>IF(A190="","",(PMT($H$2/360*30.4,$H$1,-$H$3)-(($H$2/360*30.4)*(B190))+Carátula!M231-Carátula!N231))</f>
        <v>7459.6965886816906</v>
      </c>
      <c r="E190" s="94">
        <f>IF(A190="","",PPMT($H$2/360*30.4,1,$H$1-A190+1,-B190)+Carátula!M231-Carátula!N231)</f>
        <v>0</v>
      </c>
    </row>
    <row r="191" spans="1:5" x14ac:dyDescent="0.25">
      <c r="A191" s="2">
        <f t="shared" si="2"/>
        <v>189</v>
      </c>
      <c r="B191" s="95">
        <f>Carátula!F232</f>
        <v>0</v>
      </c>
      <c r="C191" s="94">
        <f>IF(A191="","",PPMT($H$2/360*30.4,A191,$H$1,-$H$3)+Carátula!M232-Carátula!N232)</f>
        <v>4949.3250254063068</v>
      </c>
      <c r="D191" s="94">
        <f>IF(A191="","",(PMT($H$2/360*30.4,$H$1,-$H$3)-(($H$2/360*30.4)*(B191))+Carátula!M232-Carátula!N232))</f>
        <v>7459.6965886816906</v>
      </c>
      <c r="E191" s="94">
        <f>IF(A191="","",PPMT($H$2/360*30.4,1,$H$1-A191+1,-B191)+Carátula!M232-Carátula!N232)</f>
        <v>0</v>
      </c>
    </row>
    <row r="192" spans="1:5" x14ac:dyDescent="0.25">
      <c r="A192" s="2">
        <f t="shared" si="2"/>
        <v>190</v>
      </c>
      <c r="B192" s="95">
        <f>Carátula!F233</f>
        <v>0</v>
      </c>
      <c r="C192" s="94">
        <f>IF(A192="","",PPMT($H$2/360*30.4,A192,$H$1,-$H$3)+Carátula!M233-Carátula!N233)</f>
        <v>4988.5280790075476</v>
      </c>
      <c r="D192" s="94">
        <f>IF(A192="","",(PMT($H$2/360*30.4,$H$1,-$H$3)-(($H$2/360*30.4)*(B192))+Carátula!M233-Carátula!N233))</f>
        <v>7459.6965886816906</v>
      </c>
      <c r="E192" s="94">
        <f>IF(A192="","",PPMT($H$2/360*30.4,1,$H$1-A192+1,-B192)+Carátula!M233-Carátula!N233)</f>
        <v>0</v>
      </c>
    </row>
    <row r="193" spans="1:5" x14ac:dyDescent="0.25">
      <c r="A193" s="2">
        <f t="shared" si="2"/>
        <v>191</v>
      </c>
      <c r="B193" s="95">
        <f>Carátula!F234</f>
        <v>0</v>
      </c>
      <c r="C193" s="94">
        <f>IF(A193="","",PPMT($H$2/360*30.4,A193,$H$1,-$H$3)+Carátula!M234-Carátula!N234)</f>
        <v>5028.0416556404689</v>
      </c>
      <c r="D193" s="94">
        <f>IF(A193="","",(PMT($H$2/360*30.4,$H$1,-$H$3)-(($H$2/360*30.4)*(B193))+Carátula!M234-Carátula!N234))</f>
        <v>7459.6965886816906</v>
      </c>
      <c r="E193" s="94">
        <f>IF(A193="","",PPMT($H$2/360*30.4,1,$H$1-A193+1,-B193)+Carátula!M234-Carátula!N234)</f>
        <v>0</v>
      </c>
    </row>
    <row r="194" spans="1:5" x14ac:dyDescent="0.25">
      <c r="A194" s="2">
        <f t="shared" si="2"/>
        <v>192</v>
      </c>
      <c r="B194" s="95">
        <f>Carátula!F235</f>
        <v>0</v>
      </c>
      <c r="C194" s="94">
        <f>IF(A194="","",PPMT($H$2/360*30.4,A194,$H$1,-$H$3)+Carátula!M235-Carátula!N235)</f>
        <v>5067.8682149235019</v>
      </c>
      <c r="D194" s="94">
        <f>IF(A194="","",(PMT($H$2/360*30.4,$H$1,-$H$3)-(($H$2/360*30.4)*(B194))+Carátula!M235-Carátula!N235))</f>
        <v>7459.6965886816906</v>
      </c>
      <c r="E194" s="94">
        <f>IF(A194="","",PPMT($H$2/360*30.4,1,$H$1-A194+1,-B194)+Carátula!M235-Carátula!N235)</f>
        <v>0</v>
      </c>
    </row>
    <row r="195" spans="1:5" x14ac:dyDescent="0.25">
      <c r="A195" s="2">
        <f t="shared" si="2"/>
        <v>193</v>
      </c>
      <c r="B195" s="95">
        <f>Carátula!F236</f>
        <v>0</v>
      </c>
      <c r="C195" s="94">
        <f>IF(A195="","",PPMT($H$2/360*30.4,A195,$H$1,-$H$3)+Carátula!M236-Carátula!N236)</f>
        <v>5108.0102359574421</v>
      </c>
      <c r="D195" s="94">
        <f>IF(A195="","",(PMT($H$2/360*30.4,$H$1,-$H$3)-(($H$2/360*30.4)*(B195))+Carátula!M236-Carátula!N236))</f>
        <v>7459.6965886816906</v>
      </c>
      <c r="E195" s="94">
        <f>IF(A195="","",PPMT($H$2/360*30.4,1,$H$1-A195+1,-B195)+Carátula!M236-Carátula!N236)</f>
        <v>0</v>
      </c>
    </row>
    <row r="196" spans="1:5" x14ac:dyDescent="0.25">
      <c r="A196" s="2">
        <f t="shared" si="2"/>
        <v>194</v>
      </c>
      <c r="B196" s="95">
        <f>Carátula!F237</f>
        <v>0</v>
      </c>
      <c r="C196" s="94">
        <f>IF(A196="","",PPMT($H$2/360*30.4,A196,$H$1,-$H$3)+Carátula!M237-Carátula!N237)</f>
        <v>5148.4702174797676</v>
      </c>
      <c r="D196" s="94">
        <f>IF(A196="","",(PMT($H$2/360*30.4,$H$1,-$H$3)-(($H$2/360*30.4)*(B196))+Carátula!M237-Carátula!N237))</f>
        <v>7459.6965886816906</v>
      </c>
      <c r="E196" s="94">
        <f>IF(A196="","",PPMT($H$2/360*30.4,1,$H$1-A196+1,-B196)+Carátula!M237-Carátula!N237)</f>
        <v>0</v>
      </c>
    </row>
    <row r="197" spans="1:5" x14ac:dyDescent="0.25">
      <c r="A197" s="2">
        <f t="shared" ref="A197:A242" si="3">IF(A196=$H$1,"",IF(A196="","",A196+1))</f>
        <v>195</v>
      </c>
      <c r="B197" s="95">
        <f>Carátula!F238</f>
        <v>0</v>
      </c>
      <c r="C197" s="94">
        <f>IF(A197="","",PPMT($H$2/360*30.4,A197,$H$1,-$H$3)+Carátula!M238-Carátula!N238)</f>
        <v>5189.2506780201784</v>
      </c>
      <c r="D197" s="94">
        <f>IF(A197="","",(PMT($H$2/360*30.4,$H$1,-$H$3)-(($H$2/360*30.4)*(B197))+Carátula!M238-Carátula!N238))</f>
        <v>7459.6965886816906</v>
      </c>
      <c r="E197" s="94">
        <f>IF(A197="","",PPMT($H$2/360*30.4,1,$H$1-A197+1,-B197)+Carátula!M238-Carátula!N238)</f>
        <v>0</v>
      </c>
    </row>
    <row r="198" spans="1:5" x14ac:dyDescent="0.25">
      <c r="A198" s="2">
        <f t="shared" si="3"/>
        <v>196</v>
      </c>
      <c r="B198" s="95">
        <f>Carátula!F239</f>
        <v>0</v>
      </c>
      <c r="C198" s="94">
        <f>IF(A198="","",PPMT($H$2/360*30.4,A198,$H$1,-$H$3)+Carátula!M239-Carátula!N239)</f>
        <v>5230.3541560573685</v>
      </c>
      <c r="D198" s="94">
        <f>IF(A198="","",(PMT($H$2/360*30.4,$H$1,-$H$3)-(($H$2/360*30.4)*(B198))+Carátula!M239-Carátula!N239))</f>
        <v>7459.6965886816906</v>
      </c>
      <c r="E198" s="94">
        <f>IF(A198="","",PPMT($H$2/360*30.4,1,$H$1-A198+1,-B198)+Carátula!M239-Carátula!N239)</f>
        <v>0</v>
      </c>
    </row>
    <row r="199" spans="1:5" x14ac:dyDescent="0.25">
      <c r="A199" s="2">
        <f t="shared" si="3"/>
        <v>197</v>
      </c>
      <c r="B199" s="95">
        <f>Carátula!F240</f>
        <v>0</v>
      </c>
      <c r="C199" s="94">
        <f>IF(A199="","",PPMT($H$2/360*30.4,A199,$H$1,-$H$3)+Carátula!M240-Carátula!N240)</f>
        <v>5271.7832101770373</v>
      </c>
      <c r="D199" s="94">
        <f>IF(A199="","",(PMT($H$2/360*30.4,$H$1,-$H$3)-(($H$2/360*30.4)*(B199))+Carátula!M240-Carátula!N240))</f>
        <v>7459.6965886816906</v>
      </c>
      <c r="E199" s="94">
        <f>IF(A199="","",PPMT($H$2/360*30.4,1,$H$1-A199+1,-B199)+Carátula!M240-Carátula!N240)</f>
        <v>0</v>
      </c>
    </row>
    <row r="200" spans="1:5" x14ac:dyDescent="0.25">
      <c r="A200" s="2">
        <f t="shared" si="3"/>
        <v>198</v>
      </c>
      <c r="B200" s="95">
        <f>Carátula!F241</f>
        <v>0</v>
      </c>
      <c r="C200" s="94">
        <f>IF(A200="","",PPMT($H$2/360*30.4,A200,$H$1,-$H$3)+Carátula!M241-Carátula!N241)</f>
        <v>5313.5404192311598</v>
      </c>
      <c r="D200" s="94">
        <f>IF(A200="","",(PMT($H$2/360*30.4,$H$1,-$H$3)-(($H$2/360*30.4)*(B200))+Carátula!M241-Carátula!N241))</f>
        <v>7459.6965886816906</v>
      </c>
      <c r="E200" s="94">
        <f>IF(A200="","",PPMT($H$2/360*30.4,1,$H$1-A200+1,-B200)+Carátula!M241-Carátula!N241)</f>
        <v>0</v>
      </c>
    </row>
    <row r="201" spans="1:5" x14ac:dyDescent="0.25">
      <c r="A201" s="2">
        <f t="shared" si="3"/>
        <v>199</v>
      </c>
      <c r="B201" s="95">
        <f>Carátula!F242</f>
        <v>0</v>
      </c>
      <c r="C201" s="94">
        <f>IF(A201="","",PPMT($H$2/360*30.4,A201,$H$1,-$H$3)+Carátula!M242-Carátula!N242)</f>
        <v>5355.6283824985085</v>
      </c>
      <c r="D201" s="94">
        <f>IF(A201="","",(PMT($H$2/360*30.4,$H$1,-$H$3)-(($H$2/360*30.4)*(B201))+Carátula!M242-Carátula!N242))</f>
        <v>7459.6965886816906</v>
      </c>
      <c r="E201" s="94">
        <f>IF(A201="","",PPMT($H$2/360*30.4,1,$H$1-A201+1,-B201)+Carátula!M242-Carátula!N242)</f>
        <v>0</v>
      </c>
    </row>
    <row r="202" spans="1:5" x14ac:dyDescent="0.25">
      <c r="A202" s="2">
        <f t="shared" si="3"/>
        <v>200</v>
      </c>
      <c r="B202" s="95">
        <f>Carátula!F243</f>
        <v>0</v>
      </c>
      <c r="C202" s="94">
        <f>IF(A202="","",PPMT($H$2/360*30.4,A202,$H$1,-$H$3)+Carátula!M243-Carátula!N243)</f>
        <v>5398.0497198464591</v>
      </c>
      <c r="D202" s="94">
        <f>IF(A202="","",(PMT($H$2/360*30.4,$H$1,-$H$3)-(($H$2/360*30.4)*(B202))+Carátula!M243-Carátula!N243))</f>
        <v>7459.6965886816906</v>
      </c>
      <c r="E202" s="94">
        <f>IF(A202="","",PPMT($H$2/360*30.4,1,$H$1-A202+1,-B202)+Carátula!M243-Carátula!N243)</f>
        <v>0</v>
      </c>
    </row>
    <row r="203" spans="1:5" x14ac:dyDescent="0.25">
      <c r="A203" s="2">
        <f t="shared" si="3"/>
        <v>201</v>
      </c>
      <c r="B203" s="95">
        <f>Carátula!F244</f>
        <v>0</v>
      </c>
      <c r="C203" s="94">
        <f>IF(A203="","",PPMT($H$2/360*30.4,A203,$H$1,-$H$3)+Carátula!M244-Carátula!N244)</f>
        <v>5440.8070718940608</v>
      </c>
      <c r="D203" s="94">
        <f>IF(A203="","",(PMT($H$2/360*30.4,$H$1,-$H$3)-(($H$2/360*30.4)*(B203))+Carátula!M244-Carátula!N244))</f>
        <v>7459.6965886816906</v>
      </c>
      <c r="E203" s="94">
        <f>IF(A203="","",PPMT($H$2/360*30.4,1,$H$1-A203+1,-B203)+Carátula!M244-Carátula!N244)</f>
        <v>0</v>
      </c>
    </row>
    <row r="204" spans="1:5" x14ac:dyDescent="0.25">
      <c r="A204" s="2">
        <f t="shared" si="3"/>
        <v>202</v>
      </c>
      <c r="B204" s="95">
        <f>Carátula!F245</f>
        <v>0</v>
      </c>
      <c r="C204" s="94">
        <f>IF(A204="","",PPMT($H$2/360*30.4,A204,$H$1,-$H$3)+Carátula!M245-Carátula!N245)</f>
        <v>5483.9031001764142</v>
      </c>
      <c r="D204" s="94">
        <f>IF(A204="","",(PMT($H$2/360*30.4,$H$1,-$H$3)-(($H$2/360*30.4)*(B204))+Carátula!M245-Carátula!N245))</f>
        <v>7459.6965886816906</v>
      </c>
      <c r="E204" s="94">
        <f>IF(A204="","",PPMT($H$2/360*30.4,1,$H$1-A204+1,-B204)+Carátula!M245-Carátula!N245)</f>
        <v>0</v>
      </c>
    </row>
    <row r="205" spans="1:5" x14ac:dyDescent="0.25">
      <c r="A205" s="2">
        <f t="shared" si="3"/>
        <v>203</v>
      </c>
      <c r="B205" s="95">
        <f>Carátula!F246</f>
        <v>0</v>
      </c>
      <c r="C205" s="94">
        <f>IF(A205="","",PPMT($H$2/360*30.4,A205,$H$1,-$H$3)+Carátula!M246-Carátula!N246)</f>
        <v>5527.3404873103455</v>
      </c>
      <c r="D205" s="94">
        <f>IF(A205="","",(PMT($H$2/360*30.4,$H$1,-$H$3)-(($H$2/360*30.4)*(B205))+Carátula!M246-Carátula!N246))</f>
        <v>7459.6965886816906</v>
      </c>
      <c r="E205" s="94">
        <f>IF(A205="","",PPMT($H$2/360*30.4,1,$H$1-A205+1,-B205)+Carátula!M246-Carátula!N246)</f>
        <v>0</v>
      </c>
    </row>
    <row r="206" spans="1:5" x14ac:dyDescent="0.25">
      <c r="A206" s="2">
        <f t="shared" si="3"/>
        <v>204</v>
      </c>
      <c r="B206" s="95">
        <f>Carátula!F247</f>
        <v>0</v>
      </c>
      <c r="C206" s="94">
        <f>IF(A206="","",PPMT($H$2/360*30.4,A206,$H$1,-$H$3)+Carátula!M247-Carátula!N247)</f>
        <v>5571.1219371613879</v>
      </c>
      <c r="D206" s="94">
        <f>IF(A206="","",(PMT($H$2/360*30.4,$H$1,-$H$3)-(($H$2/360*30.4)*(B206))+Carátula!M247-Carátula!N247))</f>
        <v>7459.6965886816906</v>
      </c>
      <c r="E206" s="94">
        <f>IF(A206="","",PPMT($H$2/360*30.4,1,$H$1-A206+1,-B206)+Carátula!M247-Carátula!N247)</f>
        <v>0</v>
      </c>
    </row>
    <row r="207" spans="1:5" x14ac:dyDescent="0.25">
      <c r="A207" s="2">
        <f t="shared" si="3"/>
        <v>205</v>
      </c>
      <c r="B207" s="95">
        <f>Carátula!F248</f>
        <v>0</v>
      </c>
      <c r="C207" s="94">
        <f>IF(A207="","",PPMT($H$2/360*30.4,A207,$H$1,-$H$3)+Carátula!M248-Carátula!N248)</f>
        <v>5615.2501750120946</v>
      </c>
      <c r="D207" s="94">
        <f>IF(A207="","",(PMT($H$2/360*30.4,$H$1,-$H$3)-(($H$2/360*30.4)*(B207))+Carátula!M248-Carátula!N248))</f>
        <v>7459.6965886816906</v>
      </c>
      <c r="E207" s="94">
        <f>IF(A207="","",PPMT($H$2/360*30.4,1,$H$1-A207+1,-B207)+Carátula!M248-Carátula!N248)</f>
        <v>0</v>
      </c>
    </row>
    <row r="208" spans="1:5" x14ac:dyDescent="0.25">
      <c r="A208" s="2">
        <f t="shared" si="3"/>
        <v>206</v>
      </c>
      <c r="B208" s="95">
        <f>Carátula!F249</f>
        <v>0</v>
      </c>
      <c r="C208" s="94">
        <f>IF(A208="","",PPMT($H$2/360*30.4,A208,$H$1,-$H$3)+Carátula!M249-Carátula!N249)</f>
        <v>5659.7279477316788</v>
      </c>
      <c r="D208" s="94">
        <f>IF(A208="","",(PMT($H$2/360*30.4,$H$1,-$H$3)-(($H$2/360*30.4)*(B208))+Carátula!M249-Carátula!N249))</f>
        <v>7459.6965886816906</v>
      </c>
      <c r="E208" s="94">
        <f>IF(A208="","",PPMT($H$2/360*30.4,1,$H$1-A208+1,-B208)+Carátula!M249-Carátula!N249)</f>
        <v>0</v>
      </c>
    </row>
    <row r="209" spans="1:5" x14ac:dyDescent="0.25">
      <c r="A209" s="2">
        <f t="shared" si="3"/>
        <v>207</v>
      </c>
      <c r="B209" s="95">
        <f>Carátula!F250</f>
        <v>0</v>
      </c>
      <c r="C209" s="94">
        <f>IF(A209="","",PPMT($H$2/360*30.4,A209,$H$1,-$H$3)+Carátula!M250-Carátula!N250)</f>
        <v>5704.5580239470019</v>
      </c>
      <c r="D209" s="94">
        <f>IF(A209="","",(PMT($H$2/360*30.4,$H$1,-$H$3)-(($H$2/360*30.4)*(B209))+Carátula!M250-Carátula!N250))</f>
        <v>7459.6965886816906</v>
      </c>
      <c r="E209" s="94">
        <f>IF(A209="","",PPMT($H$2/360*30.4,1,$H$1-A209+1,-B209)+Carátula!M250-Carátula!N250)</f>
        <v>0</v>
      </c>
    </row>
    <row r="210" spans="1:5" x14ac:dyDescent="0.25">
      <c r="A210" s="2">
        <f t="shared" si="3"/>
        <v>208</v>
      </c>
      <c r="B210" s="95">
        <f>Carátula!F251</f>
        <v>0</v>
      </c>
      <c r="C210" s="94">
        <f>IF(A210="","",PPMT($H$2/360*30.4,A210,$H$1,-$H$3)+Carátula!M251-Carátula!N251)</f>
        <v>5749.7431942149051</v>
      </c>
      <c r="D210" s="94">
        <f>IF(A210="","",(PMT($H$2/360*30.4,$H$1,-$H$3)-(($H$2/360*30.4)*(B210))+Carátula!M251-Carátula!N251))</f>
        <v>7459.6965886816906</v>
      </c>
      <c r="E210" s="94">
        <f>IF(A210="","",PPMT($H$2/360*30.4,1,$H$1-A210+1,-B210)+Carátula!M251-Carátula!N251)</f>
        <v>0</v>
      </c>
    </row>
    <row r="211" spans="1:5" x14ac:dyDescent="0.25">
      <c r="A211" s="2">
        <f t="shared" si="3"/>
        <v>209</v>
      </c>
      <c r="B211" s="95">
        <f>Carátula!F252</f>
        <v>0</v>
      </c>
      <c r="C211" s="94">
        <f>IF(A211="","",PPMT($H$2/360*30.4,A211,$H$1,-$H$3)+Carátula!M252-Carátula!N252)</f>
        <v>5795.2862711959269</v>
      </c>
      <c r="D211" s="94">
        <f>IF(A211="","",(PMT($H$2/360*30.4,$H$1,-$H$3)-(($H$2/360*30.4)*(B211))+Carátula!M252-Carátula!N252))</f>
        <v>7459.6965886816906</v>
      </c>
      <c r="E211" s="94">
        <f>IF(A211="","",PPMT($H$2/360*30.4,1,$H$1-A211+1,-B211)+Carátula!M252-Carátula!N252)</f>
        <v>0</v>
      </c>
    </row>
    <row r="212" spans="1:5" x14ac:dyDescent="0.25">
      <c r="A212" s="2">
        <f t="shared" si="3"/>
        <v>210</v>
      </c>
      <c r="B212" s="95">
        <f>Carátula!F253</f>
        <v>0</v>
      </c>
      <c r="C212" s="94">
        <f>IF(A212="","",PPMT($H$2/360*30.4,A212,$H$1,-$H$3)+Carátula!M253-Carátula!N253)</f>
        <v>5841.1900898293725</v>
      </c>
      <c r="D212" s="94">
        <f>IF(A212="","",(PMT($H$2/360*30.4,$H$1,-$H$3)-(($H$2/360*30.4)*(B212))+Carátula!M253-Carátula!N253))</f>
        <v>7459.6965886816906</v>
      </c>
      <c r="E212" s="94">
        <f>IF(A212="","",PPMT($H$2/360*30.4,1,$H$1-A212+1,-B212)+Carátula!M253-Carátula!N253)</f>
        <v>0</v>
      </c>
    </row>
    <row r="213" spans="1:5" x14ac:dyDescent="0.25">
      <c r="A213" s="2">
        <f t="shared" si="3"/>
        <v>211</v>
      </c>
      <c r="B213" s="95">
        <f>Carátula!F254</f>
        <v>0</v>
      </c>
      <c r="C213" s="94">
        <f>IF(A213="","",PPMT($H$2/360*30.4,A213,$H$1,-$H$3)+Carátula!M254-Carátula!N254)</f>
        <v>5887.45750750979</v>
      </c>
      <c r="D213" s="94">
        <f>IF(A213="","",(PMT($H$2/360*30.4,$H$1,-$H$3)-(($H$2/360*30.4)*(B213))+Carátula!M254-Carátula!N254))</f>
        <v>7459.6965886816906</v>
      </c>
      <c r="E213" s="94">
        <f>IF(A213="","",PPMT($H$2/360*30.4,1,$H$1-A213+1,-B213)+Carátula!M254-Carátula!N254)</f>
        <v>0</v>
      </c>
    </row>
    <row r="214" spans="1:5" x14ac:dyDescent="0.25">
      <c r="A214" s="2">
        <f t="shared" si="3"/>
        <v>212</v>
      </c>
      <c r="B214" s="95">
        <f>Carátula!F255</f>
        <v>0</v>
      </c>
      <c r="C214" s="94">
        <f>IF(A214="","",PPMT($H$2/360*30.4,A214,$H$1,-$H$3)+Carátula!M255-Carátula!N255)</f>
        <v>5934.0914042648292</v>
      </c>
      <c r="D214" s="94">
        <f>IF(A214="","",(PMT($H$2/360*30.4,$H$1,-$H$3)-(($H$2/360*30.4)*(B214))+Carátula!M255-Carátula!N255))</f>
        <v>7459.6965886816906</v>
      </c>
      <c r="E214" s="94">
        <f>IF(A214="","",PPMT($H$2/360*30.4,1,$H$1-A214+1,-B214)+Carátula!M255-Carátula!N255)</f>
        <v>0</v>
      </c>
    </row>
    <row r="215" spans="1:5" x14ac:dyDescent="0.25">
      <c r="A215" s="2">
        <f t="shared" si="3"/>
        <v>213</v>
      </c>
      <c r="B215" s="95">
        <f>Carátula!F256</f>
        <v>0</v>
      </c>
      <c r="C215" s="94">
        <f>IF(A215="","",PPMT($H$2/360*30.4,A215,$H$1,-$H$3)+Carátula!M256-Carátula!N256)</f>
        <v>5981.0946829345221</v>
      </c>
      <c r="D215" s="94">
        <f>IF(A215="","",(PMT($H$2/360*30.4,$H$1,-$H$3)-(($H$2/360*30.4)*(B215))+Carátula!M256-Carátula!N256))</f>
        <v>7459.6965886816906</v>
      </c>
      <c r="E215" s="94">
        <f>IF(A215="","",PPMT($H$2/360*30.4,1,$H$1-A215+1,-B215)+Carátula!M256-Carátula!N256)</f>
        <v>0</v>
      </c>
    </row>
    <row r="216" spans="1:5" x14ac:dyDescent="0.25">
      <c r="A216" s="2">
        <f t="shared" si="3"/>
        <v>214</v>
      </c>
      <c r="B216" s="95">
        <f>Carátula!F257</f>
        <v>0</v>
      </c>
      <c r="C216" s="94">
        <f>IF(A216="","",PPMT($H$2/360*30.4,A216,$H$1,-$H$3)+Carátula!M257-Carátula!N257)</f>
        <v>6028.4702693519703</v>
      </c>
      <c r="D216" s="94">
        <f>IF(A216="","",(PMT($H$2/360*30.4,$H$1,-$H$3)-(($H$2/360*30.4)*(B216))+Carátula!M257-Carátula!N257))</f>
        <v>7459.6965886816906</v>
      </c>
      <c r="E216" s="94">
        <f>IF(A216="","",PPMT($H$2/360*30.4,1,$H$1-A216+1,-B216)+Carátula!M257-Carátula!N257)</f>
        <v>0</v>
      </c>
    </row>
    <row r="217" spans="1:5" x14ac:dyDescent="0.25">
      <c r="A217" s="2">
        <f t="shared" si="3"/>
        <v>215</v>
      </c>
      <c r="B217" s="95">
        <f>Carátula!F258</f>
        <v>0</v>
      </c>
      <c r="C217" s="94">
        <f>IF(A217="","",PPMT($H$2/360*30.4,A217,$H$1,-$H$3)+Carátula!M258-Carátula!N258)</f>
        <v>6076.221112525478</v>
      </c>
      <c r="D217" s="94">
        <f>IF(A217="","",(PMT($H$2/360*30.4,$H$1,-$H$3)-(($H$2/360*30.4)*(B217))+Carátula!M258-Carátula!N258))</f>
        <v>7459.6965886816906</v>
      </c>
      <c r="E217" s="94">
        <f>IF(A217="","",PPMT($H$2/360*30.4,1,$H$1-A217+1,-B217)+Carátula!M258-Carátula!N258)</f>
        <v>0</v>
      </c>
    </row>
    <row r="218" spans="1:5" x14ac:dyDescent="0.25">
      <c r="A218" s="2">
        <f t="shared" si="3"/>
        <v>216</v>
      </c>
      <c r="B218" s="95">
        <f>Carátula!F259</f>
        <v>0</v>
      </c>
      <c r="C218" s="94">
        <f>IF(A218="","",PPMT($H$2/360*30.4,A218,$H$1,-$H$3)+Carátula!M259-Carátula!N259)</f>
        <v>6124.3501848221131</v>
      </c>
      <c r="D218" s="94">
        <f>IF(A218="","",(PMT($H$2/360*30.4,$H$1,-$H$3)-(($H$2/360*30.4)*(B218))+Carátula!M259-Carátula!N259))</f>
        <v>7459.6965886816906</v>
      </c>
      <c r="E218" s="94">
        <f>IF(A218="","",PPMT($H$2/360*30.4,1,$H$1-A218+1,-B218)+Carátula!M259-Carátula!N259)</f>
        <v>0</v>
      </c>
    </row>
    <row r="219" spans="1:5" x14ac:dyDescent="0.25">
      <c r="A219" s="2">
        <f t="shared" si="3"/>
        <v>217</v>
      </c>
      <c r="B219" s="95">
        <f>Carátula!F260</f>
        <v>0</v>
      </c>
      <c r="C219" s="94">
        <f>IF(A219="","",PPMT($H$2/360*30.4,A219,$H$1,-$H$3)+Carátula!M260-Carátula!N260)</f>
        <v>6172.8604821527342</v>
      </c>
      <c r="D219" s="94">
        <f>IF(A219="","",(PMT($H$2/360*30.4,$H$1,-$H$3)-(($H$2/360*30.4)*(B219))+Carátula!M260-Carátula!N260))</f>
        <v>7459.6965886816906</v>
      </c>
      <c r="E219" s="94">
        <f>IF(A219="","",PPMT($H$2/360*30.4,1,$H$1-A219+1,-B219)+Carátula!M260-Carátula!N260)</f>
        <v>0</v>
      </c>
    </row>
    <row r="220" spans="1:5" x14ac:dyDescent="0.25">
      <c r="A220" s="2">
        <f t="shared" si="3"/>
        <v>218</v>
      </c>
      <c r="B220" s="95">
        <f>Carátula!F261</f>
        <v>0</v>
      </c>
      <c r="C220" s="94">
        <f>IF(A220="","",PPMT($H$2/360*30.4,A220,$H$1,-$H$3)+Carátula!M261-Carátula!N261)</f>
        <v>6221.7550241584795</v>
      </c>
      <c r="D220" s="94">
        <f>IF(A220="","",(PMT($H$2/360*30.4,$H$1,-$H$3)-(($H$2/360*30.4)*(B220))+Carátula!M261-Carátula!N261))</f>
        <v>7459.6965886816906</v>
      </c>
      <c r="E220" s="94">
        <f>IF(A220="","",PPMT($H$2/360*30.4,1,$H$1-A220+1,-B220)+Carátula!M261-Carátula!N261)</f>
        <v>0</v>
      </c>
    </row>
    <row r="221" spans="1:5" x14ac:dyDescent="0.25">
      <c r="A221" s="2">
        <f t="shared" si="3"/>
        <v>219</v>
      </c>
      <c r="B221" s="95">
        <f>Carátula!F262</f>
        <v>0</v>
      </c>
      <c r="C221" s="94">
        <f>IF(A221="","",PPMT($H$2/360*30.4,A221,$H$1,-$H$3)+Carátula!M262-Carátula!N262)</f>
        <v>6271.0368543987242</v>
      </c>
      <c r="D221" s="94">
        <f>IF(A221="","",(PMT($H$2/360*30.4,$H$1,-$H$3)-(($H$2/360*30.4)*(B221))+Carátula!M262-Carátula!N262))</f>
        <v>7459.6965886816906</v>
      </c>
      <c r="E221" s="94">
        <f>IF(A221="","",PPMT($H$2/360*30.4,1,$H$1-A221+1,-B221)+Carátula!M262-Carátula!N262)</f>
        <v>0</v>
      </c>
    </row>
    <row r="222" spans="1:5" x14ac:dyDescent="0.25">
      <c r="A222" s="2">
        <f t="shared" si="3"/>
        <v>220</v>
      </c>
      <c r="B222" s="95">
        <f>Carátula!F263</f>
        <v>0</v>
      </c>
      <c r="C222" s="94">
        <f>IF(A222="","",PPMT($H$2/360*30.4,A222,$H$1,-$H$3)+Carátula!M263-Carátula!N263)</f>
        <v>6320.7090405405452</v>
      </c>
      <c r="D222" s="94">
        <f>IF(A222="","",(PMT($H$2/360*30.4,$H$1,-$H$3)-(($H$2/360*30.4)*(B222))+Carátula!M263-Carátula!N263))</f>
        <v>7459.6965886816906</v>
      </c>
      <c r="E222" s="94">
        <f>IF(A222="","",PPMT($H$2/360*30.4,1,$H$1-A222+1,-B222)+Carátula!M263-Carátula!N263)</f>
        <v>0</v>
      </c>
    </row>
    <row r="223" spans="1:5" x14ac:dyDescent="0.25">
      <c r="A223" s="2">
        <f t="shared" si="3"/>
        <v>221</v>
      </c>
      <c r="B223" s="95">
        <f>Carátula!F264</f>
        <v>0</v>
      </c>
      <c r="C223" s="94">
        <f>IF(A223="","",PPMT($H$2/360*30.4,A223,$H$1,-$H$3)+Carátula!M264-Carátula!N264)</f>
        <v>6370.7746745496624</v>
      </c>
      <c r="D223" s="94">
        <f>IF(A223="","",(PMT($H$2/360*30.4,$H$1,-$H$3)-(($H$2/360*30.4)*(B223))+Carátula!M264-Carátula!N264))</f>
        <v>7459.6965886816906</v>
      </c>
      <c r="E223" s="94">
        <f>IF(A223="","",PPMT($H$2/360*30.4,1,$H$1-A223+1,-B223)+Carátula!M264-Carátula!N264)</f>
        <v>0</v>
      </c>
    </row>
    <row r="224" spans="1:5" x14ac:dyDescent="0.25">
      <c r="A224" s="2">
        <f t="shared" si="3"/>
        <v>222</v>
      </c>
      <c r="B224" s="95">
        <f>Carátula!F265</f>
        <v>0</v>
      </c>
      <c r="C224" s="94">
        <f>IF(A224="","",PPMT($H$2/360*30.4,A224,$H$1,-$H$3)+Carátula!M265-Carátula!N265)</f>
        <v>6421.2368728829169</v>
      </c>
      <c r="D224" s="94">
        <f>IF(A224="","",(PMT($H$2/360*30.4,$H$1,-$H$3)-(($H$2/360*30.4)*(B224))+Carátula!M265-Carátula!N265))</f>
        <v>7459.6965886816906</v>
      </c>
      <c r="E224" s="94">
        <f>IF(A224="","",PPMT($H$2/360*30.4,1,$H$1-A224+1,-B224)+Carátula!M265-Carátula!N265)</f>
        <v>0</v>
      </c>
    </row>
    <row r="225" spans="1:5" x14ac:dyDescent="0.25">
      <c r="A225" s="2">
        <f t="shared" si="3"/>
        <v>223</v>
      </c>
      <c r="B225" s="95">
        <f>Carátula!F266</f>
        <v>0</v>
      </c>
      <c r="C225" s="94">
        <f>IF(A225="","",PPMT($H$2/360*30.4,A225,$H$1,-$H$3)+Carátula!M266-Carátula!N266)</f>
        <v>6472.0987766822591</v>
      </c>
      <c r="D225" s="94">
        <f>IF(A225="","",(PMT($H$2/360*30.4,$H$1,-$H$3)-(($H$2/360*30.4)*(B225))+Carátula!M266-Carátula!N266))</f>
        <v>7459.6965886816906</v>
      </c>
      <c r="E225" s="94">
        <f>IF(A225="","",PPMT($H$2/360*30.4,1,$H$1-A225+1,-B225)+Carátula!M266-Carátula!N266)</f>
        <v>0</v>
      </c>
    </row>
    <row r="226" spans="1:5" x14ac:dyDescent="0.25">
      <c r="A226" s="2">
        <f t="shared" si="3"/>
        <v>224</v>
      </c>
      <c r="B226" s="95">
        <f>Carátula!F267</f>
        <v>0</v>
      </c>
      <c r="C226" s="94">
        <f>IF(A226="","",PPMT($H$2/360*30.4,A226,$H$1,-$H$3)+Carátula!M267-Carátula!N267)</f>
        <v>6523.363551970273</v>
      </c>
      <c r="D226" s="94">
        <f>IF(A226="","",(PMT($H$2/360*30.4,$H$1,-$H$3)-(($H$2/360*30.4)*(B226))+Carátula!M267-Carátula!N267))</f>
        <v>7459.6965886816906</v>
      </c>
      <c r="E226" s="94">
        <f>IF(A226="","",PPMT($H$2/360*30.4,1,$H$1-A226+1,-B226)+Carátula!M267-Carátula!N267)</f>
        <v>0</v>
      </c>
    </row>
    <row r="227" spans="1:5" x14ac:dyDescent="0.25">
      <c r="A227" s="2">
        <f t="shared" si="3"/>
        <v>225</v>
      </c>
      <c r="B227" s="95">
        <f>Carátula!F268</f>
        <v>0</v>
      </c>
      <c r="C227" s="94">
        <f>IF(A227="","",PPMT($H$2/360*30.4,A227,$H$1,-$H$3)+Carátula!M268-Carátula!N268)</f>
        <v>6575.0343898472565</v>
      </c>
      <c r="D227" s="94">
        <f>IF(A227="","",(PMT($H$2/360*30.4,$H$1,-$H$3)-(($H$2/360*30.4)*(B227))+Carátula!M268-Carátula!N268))</f>
        <v>7459.6965886816906</v>
      </c>
      <c r="E227" s="94">
        <f>IF(A227="","",PPMT($H$2/360*30.4,1,$H$1-A227+1,-B227)+Carátula!M268-Carátula!N268)</f>
        <v>0</v>
      </c>
    </row>
    <row r="228" spans="1:5" x14ac:dyDescent="0.25">
      <c r="A228" s="2">
        <f t="shared" si="3"/>
        <v>226</v>
      </c>
      <c r="B228" s="95">
        <f>Carátula!F269</f>
        <v>0</v>
      </c>
      <c r="C228" s="94">
        <f>IF(A228="","",PPMT($H$2/360*30.4,A228,$H$1,-$H$3)+Carátula!M269-Carátula!N269)</f>
        <v>6627.1145066898598</v>
      </c>
      <c r="D228" s="94">
        <f>IF(A228="","",(PMT($H$2/360*30.4,$H$1,-$H$3)-(($H$2/360*30.4)*(B228))+Carátula!M269-Carátula!N269))</f>
        <v>7459.6965886816906</v>
      </c>
      <c r="E228" s="94">
        <f>IF(A228="","",PPMT($H$2/360*30.4,1,$H$1-A228+1,-B228)+Carátula!M269-Carátula!N269)</f>
        <v>0</v>
      </c>
    </row>
    <row r="229" spans="1:5" x14ac:dyDescent="0.25">
      <c r="A229" s="2">
        <f t="shared" si="3"/>
        <v>227</v>
      </c>
      <c r="B229" s="95">
        <f>Carátula!F270</f>
        <v>0</v>
      </c>
      <c r="C229" s="94">
        <f>IF(A229="","",PPMT($H$2/360*30.4,A229,$H$1,-$H$3)+Carátula!M270-Carátula!N270)</f>
        <v>6679.6071443512938</v>
      </c>
      <c r="D229" s="94">
        <f>IF(A229="","",(PMT($H$2/360*30.4,$H$1,-$H$3)-(($H$2/360*30.4)*(B229))+Carátula!M270-Carátula!N270))</f>
        <v>7459.6965886816906</v>
      </c>
      <c r="E229" s="94">
        <f>IF(A229="","",PPMT($H$2/360*30.4,1,$H$1-A229+1,-B229)+Carátula!M270-Carátula!N270)</f>
        <v>0</v>
      </c>
    </row>
    <row r="230" spans="1:5" x14ac:dyDescent="0.25">
      <c r="A230" s="2">
        <f t="shared" si="3"/>
        <v>228</v>
      </c>
      <c r="B230" s="95">
        <f>Carátula!F271</f>
        <v>0</v>
      </c>
      <c r="C230" s="94">
        <f>IF(A230="","",PPMT($H$2/360*30.4,A230,$H$1,-$H$3)+Carátula!M271-Carátula!N271)</f>
        <v>6732.5155703631299</v>
      </c>
      <c r="D230" s="94">
        <f>IF(A230="","",(PMT($H$2/360*30.4,$H$1,-$H$3)-(($H$2/360*30.4)*(B230))+Carátula!M271-Carátula!N271))</f>
        <v>7459.6965886816906</v>
      </c>
      <c r="E230" s="94">
        <f>IF(A230="","",PPMT($H$2/360*30.4,1,$H$1-A230+1,-B230)+Carátula!M271-Carátula!N271)</f>
        <v>0</v>
      </c>
    </row>
    <row r="231" spans="1:5" x14ac:dyDescent="0.25">
      <c r="A231" s="2">
        <f t="shared" si="3"/>
        <v>229</v>
      </c>
      <c r="B231" s="95">
        <f>Carátula!F272</f>
        <v>0</v>
      </c>
      <c r="C231" s="94">
        <f>IF(A231="","",PPMT($H$2/360*30.4,A231,$H$1,-$H$3)+Carátula!M272-Carátula!N272)</f>
        <v>6785.8430781386896</v>
      </c>
      <c r="D231" s="94">
        <f>IF(A231="","",(PMT($H$2/360*30.4,$H$1,-$H$3)-(($H$2/360*30.4)*(B231))+Carátula!M272-Carátula!N272))</f>
        <v>7459.6965886816906</v>
      </c>
      <c r="E231" s="94">
        <f>IF(A231="","",PPMT($H$2/360*30.4,1,$H$1-A231+1,-B231)+Carátula!M272-Carátula!N272)</f>
        <v>0</v>
      </c>
    </row>
    <row r="232" spans="1:5" x14ac:dyDescent="0.25">
      <c r="A232" s="2">
        <f t="shared" si="3"/>
        <v>230</v>
      </c>
      <c r="B232" s="95">
        <f>Carátula!F273</f>
        <v>0</v>
      </c>
      <c r="C232" s="94">
        <f>IF(A232="","",PPMT($H$2/360*30.4,A232,$H$1,-$H$3)+Carátula!M273-Carátula!N273)</f>
        <v>6839.5929871780627</v>
      </c>
      <c r="D232" s="94">
        <f>IF(A232="","",(PMT($H$2/360*30.4,$H$1,-$H$3)-(($H$2/360*30.4)*(B232))+Carátula!M273-Carátula!N273))</f>
        <v>7459.6965886816906</v>
      </c>
      <c r="E232" s="94">
        <f>IF(A232="","",PPMT($H$2/360*30.4,1,$H$1-A232+1,-B232)+Carátula!M273-Carátula!N273)</f>
        <v>0</v>
      </c>
    </row>
    <row r="233" spans="1:5" x14ac:dyDescent="0.25">
      <c r="A233" s="2">
        <f t="shared" si="3"/>
        <v>231</v>
      </c>
      <c r="B233" s="95">
        <f>Carátula!F274</f>
        <v>0</v>
      </c>
      <c r="C233" s="94">
        <f>IF(A233="","",PPMT($H$2/360*30.4,A233,$H$1,-$H$3)+Carátula!M274-Carátula!N274)</f>
        <v>6893.7686432747232</v>
      </c>
      <c r="D233" s="94">
        <f>IF(A233="","",(PMT($H$2/360*30.4,$H$1,-$H$3)-(($H$2/360*30.4)*(B233))+Carátula!M274-Carátula!N274))</f>
        <v>7459.6965886816906</v>
      </c>
      <c r="E233" s="94">
        <f>IF(A233="","",PPMT($H$2/360*30.4,1,$H$1-A233+1,-B233)+Carátula!M274-Carátula!N274)</f>
        <v>0</v>
      </c>
    </row>
    <row r="234" spans="1:5" x14ac:dyDescent="0.25">
      <c r="A234" s="2">
        <f t="shared" si="3"/>
        <v>232</v>
      </c>
      <c r="B234" s="95">
        <f>Carátula!F275</f>
        <v>0</v>
      </c>
      <c r="C234" s="94">
        <f>IF(A234="","",PPMT($H$2/360*30.4,A234,$H$1,-$H$3)+Carátula!M275-Carátula!N275)</f>
        <v>6948.3734187238088</v>
      </c>
      <c r="D234" s="94">
        <f>IF(A234="","",(PMT($H$2/360*30.4,$H$1,-$H$3)-(($H$2/360*30.4)*(B234))+Carátula!M275-Carátula!N275))</f>
        <v>7459.6965886816906</v>
      </c>
      <c r="E234" s="94">
        <f>IF(A234="","",PPMT($H$2/360*30.4,1,$H$1-A234+1,-B234)+Carátula!M275-Carátula!N275)</f>
        <v>0</v>
      </c>
    </row>
    <row r="235" spans="1:5" x14ac:dyDescent="0.25">
      <c r="A235" s="2">
        <f t="shared" si="3"/>
        <v>233</v>
      </c>
      <c r="B235" s="95">
        <f>Carátula!F276</f>
        <v>0</v>
      </c>
      <c r="C235" s="94">
        <f>IF(A235="","",PPMT($H$2/360*30.4,A235,$H$1,-$H$3)+Carátula!M276-Carátula!N276)</f>
        <v>7003.4107125320288</v>
      </c>
      <c r="D235" s="94">
        <f>IF(A235="","",(PMT($H$2/360*30.4,$H$1,-$H$3)-(($H$2/360*30.4)*(B235))+Carátula!M276-Carátula!N276))</f>
        <v>7459.6965886816906</v>
      </c>
      <c r="E235" s="94">
        <f>IF(A235="","",PPMT($H$2/360*30.4,1,$H$1-A235+1,-B235)+Carátula!M276-Carátula!N276)</f>
        <v>0</v>
      </c>
    </row>
    <row r="236" spans="1:5" x14ac:dyDescent="0.25">
      <c r="A236" s="2">
        <f t="shared" si="3"/>
        <v>234</v>
      </c>
      <c r="B236" s="95">
        <f>Carátula!F277</f>
        <v>0</v>
      </c>
      <c r="C236" s="94">
        <f>IF(A236="","",PPMT($H$2/360*30.4,A236,$H$1,-$H$3)+Carátula!M277-Carátula!N277)</f>
        <v>7058.8839506292497</v>
      </c>
      <c r="D236" s="94">
        <f>IF(A236="","",(PMT($H$2/360*30.4,$H$1,-$H$3)-(($H$2/360*30.4)*(B236))+Carátula!M277-Carátula!N277))</f>
        <v>7459.6965886816906</v>
      </c>
      <c r="E236" s="94">
        <f>IF(A236="","",PPMT($H$2/360*30.4,1,$H$1-A236+1,-B236)+Carátula!M277-Carátula!N277)</f>
        <v>0</v>
      </c>
    </row>
    <row r="237" spans="1:5" x14ac:dyDescent="0.25">
      <c r="A237" s="2">
        <f t="shared" si="3"/>
        <v>235</v>
      </c>
      <c r="B237" s="95">
        <f>Carátula!F278</f>
        <v>0</v>
      </c>
      <c r="C237" s="94">
        <f>IF(A237="","",PPMT($H$2/360*30.4,A237,$H$1,-$H$3)+Carátula!M278-Carátula!N278)</f>
        <v>7114.7965860817449</v>
      </c>
      <c r="D237" s="94">
        <f>IF(A237="","",(PMT($H$2/360*30.4,$H$1,-$H$3)-(($H$2/360*30.4)*(B237))+Carátula!M278-Carátula!N278))</f>
        <v>7459.6965886816906</v>
      </c>
      <c r="E237" s="94">
        <f>IF(A237="","",PPMT($H$2/360*30.4,1,$H$1-A237+1,-B237)+Carátula!M278-Carátula!N278)</f>
        <v>0</v>
      </c>
    </row>
    <row r="238" spans="1:5" x14ac:dyDescent="0.25">
      <c r="A238" s="2">
        <f t="shared" si="3"/>
        <v>236</v>
      </c>
      <c r="B238" s="95">
        <f>Carátula!F279</f>
        <v>0</v>
      </c>
      <c r="C238" s="94">
        <f>IF(A238="","",PPMT($H$2/360*30.4,A238,$H$1,-$H$3)+Carátula!M279-Carátula!N279)</f>
        <v>7171.1520993071445</v>
      </c>
      <c r="D238" s="94">
        <f>IF(A238="","",(PMT($H$2/360*30.4,$H$1,-$H$3)-(($H$2/360*30.4)*(B238))+Carátula!M279-Carátula!N279))</f>
        <v>7459.6965886816906</v>
      </c>
      <c r="E238" s="94">
        <f>IF(A238="","",PPMT($H$2/360*30.4,1,$H$1-A238+1,-B238)+Carátula!M279-Carátula!N279)</f>
        <v>0</v>
      </c>
    </row>
    <row r="239" spans="1:5" x14ac:dyDescent="0.25">
      <c r="A239" s="2">
        <f t="shared" si="3"/>
        <v>237</v>
      </c>
      <c r="B239" s="95">
        <f>Carátula!F280</f>
        <v>0</v>
      </c>
      <c r="C239" s="94">
        <f>IF(A239="","",PPMT($H$2/360*30.4,A239,$H$1,-$H$3)+Carátula!M280-Carátula!N280)</f>
        <v>7227.9539982910783</v>
      </c>
      <c r="D239" s="94">
        <f>IF(A239="","",(PMT($H$2/360*30.4,$H$1,-$H$3)-(($H$2/360*30.4)*(B239))+Carátula!M280-Carátula!N280))</f>
        <v>7459.6965886816906</v>
      </c>
      <c r="E239" s="94">
        <f>IF(A239="","",PPMT($H$2/360*30.4,1,$H$1-A239+1,-B239)+Carátula!M280-Carátula!N280)</f>
        <v>0</v>
      </c>
    </row>
    <row r="240" spans="1:5" x14ac:dyDescent="0.25">
      <c r="A240" s="2">
        <f t="shared" si="3"/>
        <v>238</v>
      </c>
      <c r="B240" s="95">
        <f>Carátula!F281</f>
        <v>0</v>
      </c>
      <c r="C240" s="94">
        <f>IF(A240="","",PPMT($H$2/360*30.4,A240,$H$1,-$H$3)+Carátula!M281-Carátula!N281)</f>
        <v>7285.2058188055425</v>
      </c>
      <c r="D240" s="94">
        <f>IF(A240="","",(PMT($H$2/360*30.4,$H$1,-$H$3)-(($H$2/360*30.4)*(B240))+Carátula!M281-Carátula!N281))</f>
        <v>7459.6965886816906</v>
      </c>
      <c r="E240" s="94">
        <f>IF(A240="","",PPMT($H$2/360*30.4,1,$H$1-A240+1,-B240)+Carátula!M281-Carátula!N281)</f>
        <v>0</v>
      </c>
    </row>
    <row r="241" spans="1:5" x14ac:dyDescent="0.25">
      <c r="A241" s="2">
        <f t="shared" si="3"/>
        <v>239</v>
      </c>
      <c r="B241" s="95">
        <f>Carátula!F282</f>
        <v>0</v>
      </c>
      <c r="C241" s="94">
        <f>IF(A241="","",PPMT($H$2/360*30.4,A241,$H$1,-$H$3)+Carátula!M282-Carátula!N282)</f>
        <v>7342.9111246289876</v>
      </c>
      <c r="D241" s="94">
        <f>IF(A241="","",(PMT($H$2/360*30.4,$H$1,-$H$3)-(($H$2/360*30.4)*(B241))+Carátula!M282-Carátula!N282))</f>
        <v>7459.6965886816906</v>
      </c>
      <c r="E241" s="94">
        <f>IF(A241="","",PPMT($H$2/360*30.4,1,$H$1-A241+1,-B241)+Carátula!M282-Carátula!N282)</f>
        <v>0</v>
      </c>
    </row>
    <row r="242" spans="1:5" x14ac:dyDescent="0.25">
      <c r="A242" s="2">
        <f t="shared" si="3"/>
        <v>240</v>
      </c>
      <c r="B242" s="95">
        <f>Carátula!F283</f>
        <v>0</v>
      </c>
      <c r="C242" s="94">
        <f>IF(A242="","",PPMT($H$2/360*30.4,A242,$H$1,-$H$3)+Carátula!M283-Carátula!N283)</f>
        <v>7401.0735077681602</v>
      </c>
      <c r="D242" s="94">
        <f>IF(A242="","",(PMT($H$2/360*30.4,$H$1,-$H$3)-(($H$2/360*30.4)*(B242))+Carátula!M283-Carátula!N283))</f>
        <v>7459.6965886816906</v>
      </c>
      <c r="E242" s="94">
        <f>IF(A242="","",PPMT($H$2/360*30.4,1,$H$1-A242+1,-B242)+Carátula!M283-Carátula!N283)</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EE428-6095-4260-87B6-7447AA94DB97}">
  <dimension ref="A1:O246"/>
  <sheetViews>
    <sheetView workbookViewId="0">
      <selection activeCell="K8" sqref="K8"/>
    </sheetView>
  </sheetViews>
  <sheetFormatPr baseColWidth="10" defaultRowHeight="15" x14ac:dyDescent="0.25"/>
  <cols>
    <col min="2" max="2" width="14.140625" bestFit="1" customWidth="1"/>
    <col min="3" max="3" width="16.7109375" customWidth="1"/>
    <col min="4" max="4" width="14.140625" customWidth="1"/>
    <col min="5" max="5" width="15.140625" customWidth="1"/>
    <col min="6" max="6" width="15.42578125" customWidth="1"/>
    <col min="7" max="7" width="15.140625" customWidth="1"/>
    <col min="8" max="8" width="16.85546875" customWidth="1"/>
    <col min="9" max="9" width="15" customWidth="1"/>
    <col min="10" max="10" width="13.140625" bestFit="1" customWidth="1"/>
    <col min="11" max="11" width="11.7109375" customWidth="1"/>
    <col min="12" max="12" width="23.7109375" bestFit="1" customWidth="1"/>
    <col min="15" max="15" width="12" bestFit="1" customWidth="1"/>
  </cols>
  <sheetData>
    <row r="1" spans="1:15" x14ac:dyDescent="0.25">
      <c r="A1" s="2" t="s">
        <v>14</v>
      </c>
      <c r="B1" s="92">
        <f>Carátula!$H$29</f>
        <v>240</v>
      </c>
      <c r="N1" s="397" t="s">
        <v>153</v>
      </c>
      <c r="O1" s="397"/>
    </row>
    <row r="2" spans="1:15" x14ac:dyDescent="0.25">
      <c r="A2" s="2" t="s">
        <v>53</v>
      </c>
      <c r="B2" s="3">
        <f>Carátula!$E$39</f>
        <v>9.3799999999999994E-2</v>
      </c>
      <c r="G2" s="2">
        <f>Catálogos!R12</f>
        <v>2</v>
      </c>
      <c r="N2" s="2" t="s">
        <v>18</v>
      </c>
      <c r="O2" s="93">
        <f>Carátula!$L$26</f>
        <v>0</v>
      </c>
    </row>
    <row r="3" spans="1:15" x14ac:dyDescent="0.25">
      <c r="A3" s="2" t="s">
        <v>144</v>
      </c>
      <c r="B3" s="93">
        <f>Carátula!$F$44</f>
        <v>800000</v>
      </c>
      <c r="N3" s="2" t="s">
        <v>154</v>
      </c>
      <c r="O3" s="97">
        <f>IF(G2=1,Avalúos!$I$6,0)</f>
        <v>0</v>
      </c>
    </row>
    <row r="4" spans="1:15" x14ac:dyDescent="0.25">
      <c r="A4" s="2" t="s">
        <v>174</v>
      </c>
      <c r="B4" s="93">
        <f>IF(Catálogos!$K$10=2,0,Carátula!$F$17)</f>
        <v>0</v>
      </c>
      <c r="N4" s="2" t="s">
        <v>155</v>
      </c>
      <c r="O4" s="97">
        <f>IF(G2=1,Carátula!$L$30/1.16,0)</f>
        <v>0</v>
      </c>
    </row>
    <row r="5" spans="1:15" x14ac:dyDescent="0.25">
      <c r="O5" s="96">
        <f>SUM(O2:O4)</f>
        <v>0</v>
      </c>
    </row>
    <row r="6" spans="1:15" x14ac:dyDescent="0.25">
      <c r="B6" s="90" t="s">
        <v>152</v>
      </c>
      <c r="C6" s="90" t="s">
        <v>76</v>
      </c>
      <c r="D6" s="90" t="s">
        <v>146</v>
      </c>
      <c r="E6" s="90" t="s">
        <v>147</v>
      </c>
      <c r="F6" s="90" t="s">
        <v>148</v>
      </c>
      <c r="G6" s="90" t="s">
        <v>149</v>
      </c>
      <c r="H6" s="90" t="s">
        <v>150</v>
      </c>
      <c r="I6" s="90" t="s">
        <v>151</v>
      </c>
      <c r="J6" s="96">
        <f>-B3+O5</f>
        <v>-800000</v>
      </c>
      <c r="K6" s="98">
        <f>IRR(J6:J246,0)</f>
        <v>8.5208888888888001E-3</v>
      </c>
      <c r="L6" s="96" t="s">
        <v>156</v>
      </c>
    </row>
    <row r="7" spans="1:15" x14ac:dyDescent="0.25">
      <c r="A7">
        <v>1</v>
      </c>
      <c r="B7" s="96">
        <f>B3</f>
        <v>800000</v>
      </c>
      <c r="C7" s="96">
        <f>IF(A7="","",E7-D7)</f>
        <v>1122.9854775705799</v>
      </c>
      <c r="D7" s="93">
        <f>IF(A7="","",($B$2/360*30.4)*B7)</f>
        <v>6336.7111111111108</v>
      </c>
      <c r="E7" s="93">
        <f t="shared" ref="E7:E70" si="0">IF(A7="","",PMT($B$2/360*30.4,$B$1,-$B$3))</f>
        <v>7459.6965886816906</v>
      </c>
      <c r="F7" s="93">
        <f>IF(A7="","",B7*Catálogos!$R$1)</f>
        <v>479.99999999999994</v>
      </c>
      <c r="G7" s="93">
        <f>IF(A7="","",IF(B7=0,0,$B$4*Catálogos!$Q$6))</f>
        <v>0</v>
      </c>
      <c r="H7" s="93">
        <f>IF(A7="","",IF($G$2=1,299,0))</f>
        <v>0</v>
      </c>
      <c r="I7" s="93">
        <f>IF(A7="","",SUM(E7:H7))</f>
        <v>7939.6965886816906</v>
      </c>
      <c r="J7" s="96">
        <f>I7</f>
        <v>7939.6965886816906</v>
      </c>
      <c r="K7" s="55">
        <f>K6*12</f>
        <v>0.1022506666666656</v>
      </c>
      <c r="L7" s="96" t="s">
        <v>157</v>
      </c>
    </row>
    <row r="8" spans="1:15" x14ac:dyDescent="0.25">
      <c r="A8">
        <f t="shared" ref="A8:A71" si="1">IF(A7=$B$1,"",IF(A7="","",A7+1))</f>
        <v>2</v>
      </c>
      <c r="B8" s="96">
        <f>IF(A8="","",B7-C7)</f>
        <v>798877.01452242944</v>
      </c>
      <c r="C8" s="96">
        <f t="shared" ref="C8:C71" si="2">IF(A8="","",E8-D8)</f>
        <v>1131.8805207622518</v>
      </c>
      <c r="D8" s="93">
        <f t="shared" ref="D8:D71" si="3">IF(A8="","",($B$2/360*30.4)*B8)</f>
        <v>6327.8160679194389</v>
      </c>
      <c r="E8" s="93">
        <f t="shared" si="0"/>
        <v>7459.6965886816906</v>
      </c>
      <c r="F8" s="93">
        <f>IF(A8="","",B8*Catálogos!$R$1)</f>
        <v>479.32620871345762</v>
      </c>
      <c r="G8" s="93">
        <f>IF(A8="","",IF(B8=0,0,$B$4*Catálogos!$Q$6))</f>
        <v>0</v>
      </c>
      <c r="H8" s="93">
        <f t="shared" ref="H8:H71" si="4">IF(A8="","",IF($G$2=1,299,0))</f>
        <v>0</v>
      </c>
      <c r="I8" s="93">
        <f t="shared" ref="I8:I71" si="5">IF(A8="","",SUM(E8:H8))</f>
        <v>7939.0227973951478</v>
      </c>
      <c r="J8" s="96">
        <f t="shared" ref="J8:J71" si="6">I8</f>
        <v>7939.0227973951478</v>
      </c>
      <c r="K8" s="99">
        <f>EFFECT(K7,12)</f>
        <v>0.10718138419196266</v>
      </c>
      <c r="L8" s="96" t="s">
        <v>158</v>
      </c>
    </row>
    <row r="9" spans="1:15" x14ac:dyDescent="0.25">
      <c r="A9">
        <f t="shared" si="1"/>
        <v>3</v>
      </c>
      <c r="B9" s="96">
        <f t="shared" ref="B9:B72" si="7">IF(A9="","",B8-C8)</f>
        <v>797745.13400166715</v>
      </c>
      <c r="C9" s="96">
        <f t="shared" si="2"/>
        <v>1140.8460206027075</v>
      </c>
      <c r="D9" s="93">
        <f t="shared" si="3"/>
        <v>6318.8505680789831</v>
      </c>
      <c r="E9" s="93">
        <f t="shared" si="0"/>
        <v>7459.6965886816906</v>
      </c>
      <c r="F9" s="93">
        <f>IF(A9="","",B9*Catálogos!$R$1)</f>
        <v>478.64708040100027</v>
      </c>
      <c r="G9" s="93">
        <f>IF(A9="","",IF(B9=0,0,$B$4*Catálogos!$Q$6))</f>
        <v>0</v>
      </c>
      <c r="H9" s="93">
        <f t="shared" si="4"/>
        <v>0</v>
      </c>
      <c r="I9" s="93">
        <f t="shared" si="5"/>
        <v>7938.3436690826911</v>
      </c>
      <c r="J9" s="96">
        <f t="shared" si="6"/>
        <v>7938.3436690826911</v>
      </c>
      <c r="K9" s="96"/>
      <c r="L9" s="96"/>
    </row>
    <row r="10" spans="1:15" x14ac:dyDescent="0.25">
      <c r="A10">
        <f t="shared" si="1"/>
        <v>4</v>
      </c>
      <c r="B10" s="96">
        <f t="shared" si="7"/>
        <v>796604.28798106441</v>
      </c>
      <c r="C10" s="96">
        <f t="shared" si="2"/>
        <v>1149.882535171233</v>
      </c>
      <c r="D10" s="93">
        <f t="shared" si="3"/>
        <v>6309.8140535104576</v>
      </c>
      <c r="E10" s="93">
        <f t="shared" si="0"/>
        <v>7459.6965886816906</v>
      </c>
      <c r="F10" s="93">
        <f>IF(A10="","",B10*Catálogos!$R$1)</f>
        <v>477.96257278863862</v>
      </c>
      <c r="G10" s="93">
        <f>IF(A10="","",IF(B10=0,0,$B$4*Catálogos!$Q$6))</f>
        <v>0</v>
      </c>
      <c r="H10" s="93">
        <f t="shared" si="4"/>
        <v>0</v>
      </c>
      <c r="I10" s="93">
        <f t="shared" si="5"/>
        <v>7937.6591614703293</v>
      </c>
      <c r="J10" s="96">
        <f t="shared" si="6"/>
        <v>7937.6591614703293</v>
      </c>
      <c r="K10" s="96"/>
      <c r="L10" s="96"/>
    </row>
    <row r="11" spans="1:15" x14ac:dyDescent="0.25">
      <c r="A11">
        <f t="shared" si="1"/>
        <v>5</v>
      </c>
      <c r="B11" s="96">
        <f t="shared" si="7"/>
        <v>795454.40544589318</v>
      </c>
      <c r="C11" s="96">
        <f t="shared" si="2"/>
        <v>1158.9906269675985</v>
      </c>
      <c r="D11" s="93">
        <f t="shared" si="3"/>
        <v>6300.7059617140922</v>
      </c>
      <c r="E11" s="93">
        <f t="shared" si="0"/>
        <v>7459.6965886816906</v>
      </c>
      <c r="F11" s="93">
        <f>IF(A11="","",B11*Catálogos!$R$1)</f>
        <v>477.27264326753584</v>
      </c>
      <c r="G11" s="93">
        <f>IF(A11="","",IF(B11=0,0,$B$4*Catálogos!$Q$6))</f>
        <v>0</v>
      </c>
      <c r="H11" s="93">
        <f t="shared" si="4"/>
        <v>0</v>
      </c>
      <c r="I11" s="93">
        <f t="shared" si="5"/>
        <v>7936.969231949226</v>
      </c>
      <c r="J11" s="96">
        <f t="shared" si="6"/>
        <v>7936.969231949226</v>
      </c>
      <c r="K11" s="96"/>
      <c r="L11" s="96"/>
    </row>
    <row r="12" spans="1:15" x14ac:dyDescent="0.25">
      <c r="A12">
        <f t="shared" si="1"/>
        <v>6</v>
      </c>
      <c r="B12" s="96">
        <f t="shared" si="7"/>
        <v>794295.41481892555</v>
      </c>
      <c r="C12" s="96">
        <f t="shared" si="2"/>
        <v>1168.1708629470722</v>
      </c>
      <c r="D12" s="93">
        <f t="shared" si="3"/>
        <v>6291.5257257346184</v>
      </c>
      <c r="E12" s="93">
        <f t="shared" si="0"/>
        <v>7459.6965886816906</v>
      </c>
      <c r="F12" s="93">
        <f>IF(A12="","",B12*Catálogos!$R$1)</f>
        <v>476.57724889135528</v>
      </c>
      <c r="G12" s="93">
        <f>IF(A12="","",IF(B12=0,0,$B$4*Catálogos!$Q$6))</f>
        <v>0</v>
      </c>
      <c r="H12" s="93">
        <f t="shared" si="4"/>
        <v>0</v>
      </c>
      <c r="I12" s="93">
        <f t="shared" si="5"/>
        <v>7936.273837573046</v>
      </c>
      <c r="J12" s="96">
        <f t="shared" si="6"/>
        <v>7936.273837573046</v>
      </c>
      <c r="K12" s="96"/>
      <c r="L12" s="96"/>
    </row>
    <row r="13" spans="1:15" x14ac:dyDescent="0.25">
      <c r="A13">
        <f t="shared" si="1"/>
        <v>7</v>
      </c>
      <c r="B13" s="96">
        <f t="shared" si="7"/>
        <v>793127.24395597843</v>
      </c>
      <c r="C13" s="96">
        <f t="shared" si="2"/>
        <v>1177.4238145557138</v>
      </c>
      <c r="D13" s="93">
        <f t="shared" si="3"/>
        <v>6282.2727741259769</v>
      </c>
      <c r="E13" s="93">
        <f t="shared" si="0"/>
        <v>7459.6965886816906</v>
      </c>
      <c r="F13" s="93">
        <f>IF(A13="","",B13*Catálogos!$R$1)</f>
        <v>475.87634637358701</v>
      </c>
      <c r="G13" s="93">
        <f>IF(A13="","",IF(B13=0,0,$B$4*Catálogos!$Q$6))</f>
        <v>0</v>
      </c>
      <c r="H13" s="93">
        <f t="shared" si="4"/>
        <v>0</v>
      </c>
      <c r="I13" s="93">
        <f t="shared" si="5"/>
        <v>7935.5729350552774</v>
      </c>
      <c r="J13" s="96">
        <f t="shared" si="6"/>
        <v>7935.5729350552774</v>
      </c>
      <c r="K13" s="96"/>
      <c r="L13" s="96"/>
    </row>
    <row r="14" spans="1:15" x14ac:dyDescent="0.25">
      <c r="A14">
        <f t="shared" si="1"/>
        <v>8</v>
      </c>
      <c r="B14" s="96">
        <f t="shared" si="7"/>
        <v>791949.82014142268</v>
      </c>
      <c r="C14" s="96">
        <f t="shared" si="2"/>
        <v>1186.7500577659421</v>
      </c>
      <c r="D14" s="93">
        <f t="shared" si="3"/>
        <v>6272.9465309157486</v>
      </c>
      <c r="E14" s="93">
        <f t="shared" si="0"/>
        <v>7459.6965886816906</v>
      </c>
      <c r="F14" s="93">
        <f>IF(A14="","",B14*Catálogos!$R$1)</f>
        <v>475.16989208485359</v>
      </c>
      <c r="G14" s="93">
        <f>IF(A14="","",IF(B14=0,0,$B$4*Catálogos!$Q$6))</f>
        <v>0</v>
      </c>
      <c r="H14" s="93">
        <f t="shared" si="4"/>
        <v>0</v>
      </c>
      <c r="I14" s="93">
        <f t="shared" si="5"/>
        <v>7934.8664807665446</v>
      </c>
      <c r="J14" s="96">
        <f t="shared" si="6"/>
        <v>7934.8664807665446</v>
      </c>
      <c r="K14" s="96"/>
      <c r="L14" s="96"/>
    </row>
    <row r="15" spans="1:15" x14ac:dyDescent="0.25">
      <c r="A15">
        <f t="shared" si="1"/>
        <v>9</v>
      </c>
      <c r="B15" s="96">
        <f t="shared" si="7"/>
        <v>790763.0700836567</v>
      </c>
      <c r="C15" s="96">
        <f t="shared" si="2"/>
        <v>1196.150173112389</v>
      </c>
      <c r="D15" s="93">
        <f t="shared" si="3"/>
        <v>6263.5464155693016</v>
      </c>
      <c r="E15" s="93">
        <f t="shared" si="0"/>
        <v>7459.6965886816906</v>
      </c>
      <c r="F15" s="93">
        <f>IF(A15="","",B15*Catálogos!$R$1)</f>
        <v>474.45784205019396</v>
      </c>
      <c r="G15" s="93">
        <f>IF(A15="","",IF(B15=0,0,$B$4*Catálogos!$Q$6))</f>
        <v>0</v>
      </c>
      <c r="H15" s="93">
        <f t="shared" si="4"/>
        <v>0</v>
      </c>
      <c r="I15" s="93">
        <f t="shared" si="5"/>
        <v>7934.1544307318845</v>
      </c>
      <c r="J15" s="96">
        <f t="shared" si="6"/>
        <v>7934.1544307318845</v>
      </c>
      <c r="K15" s="96"/>
      <c r="L15" s="96"/>
    </row>
    <row r="16" spans="1:15" x14ac:dyDescent="0.25">
      <c r="A16">
        <f t="shared" si="1"/>
        <v>10</v>
      </c>
      <c r="B16" s="96">
        <f t="shared" si="7"/>
        <v>789566.9199105443</v>
      </c>
      <c r="C16" s="96">
        <f t="shared" si="2"/>
        <v>1205.6247457280369</v>
      </c>
      <c r="D16" s="93">
        <f t="shared" si="3"/>
        <v>6254.0718429536537</v>
      </c>
      <c r="E16" s="93">
        <f t="shared" si="0"/>
        <v>7459.6965886816906</v>
      </c>
      <c r="F16" s="93">
        <f>IF(A16="","",B16*Catálogos!$R$1)</f>
        <v>473.74015194632653</v>
      </c>
      <c r="G16" s="93">
        <f>IF(A16="","",IF(B16=0,0,$B$4*Catálogos!$Q$6))</f>
        <v>0</v>
      </c>
      <c r="H16" s="93">
        <f t="shared" si="4"/>
        <v>0</v>
      </c>
      <c r="I16" s="93">
        <f t="shared" si="5"/>
        <v>7933.4367406280171</v>
      </c>
      <c r="J16" s="96">
        <f t="shared" si="6"/>
        <v>7933.4367406280171</v>
      </c>
      <c r="K16" s="96"/>
      <c r="L16" s="96"/>
    </row>
    <row r="17" spans="1:12" x14ac:dyDescent="0.25">
      <c r="A17">
        <f t="shared" si="1"/>
        <v>11</v>
      </c>
      <c r="B17" s="96">
        <f t="shared" si="7"/>
        <v>788361.29516481631</v>
      </c>
      <c r="C17" s="96">
        <f t="shared" si="2"/>
        <v>1215.1743653806434</v>
      </c>
      <c r="D17" s="93">
        <f t="shared" si="3"/>
        <v>6244.5222233010472</v>
      </c>
      <c r="E17" s="93">
        <f t="shared" si="0"/>
        <v>7459.6965886816906</v>
      </c>
      <c r="F17" s="93">
        <f>IF(A17="","",B17*Catálogos!$R$1)</f>
        <v>473.01677709888975</v>
      </c>
      <c r="G17" s="93">
        <f>IF(A17="","",IF(B17=0,0,$B$4*Catálogos!$Q$6))</f>
        <v>0</v>
      </c>
      <c r="H17" s="93">
        <f t="shared" si="4"/>
        <v>0</v>
      </c>
      <c r="I17" s="93">
        <f t="shared" si="5"/>
        <v>7932.7133657805807</v>
      </c>
      <c r="J17" s="96">
        <f t="shared" si="6"/>
        <v>7932.7133657805807</v>
      </c>
      <c r="K17" s="96"/>
      <c r="L17" s="96"/>
    </row>
    <row r="18" spans="1:12" x14ac:dyDescent="0.25">
      <c r="A18">
        <f t="shared" si="1"/>
        <v>12</v>
      </c>
      <c r="B18" s="96">
        <f t="shared" si="7"/>
        <v>787146.12079943565</v>
      </c>
      <c r="C18" s="96">
        <f t="shared" si="2"/>
        <v>1224.7996265094498</v>
      </c>
      <c r="D18" s="93">
        <f t="shared" si="3"/>
        <v>6234.8969621722408</v>
      </c>
      <c r="E18" s="93">
        <f t="shared" si="0"/>
        <v>7459.6965886816906</v>
      </c>
      <c r="F18" s="93">
        <f>IF(A18="","",B18*Catálogos!$R$1)</f>
        <v>472.28767247966135</v>
      </c>
      <c r="G18" s="93">
        <f>IF(A18="","",IF(B18=0,0,$B$4*Catálogos!$Q$6))</f>
        <v>0</v>
      </c>
      <c r="H18" s="93">
        <f t="shared" si="4"/>
        <v>0</v>
      </c>
      <c r="I18" s="93">
        <f t="shared" si="5"/>
        <v>7931.9842611613522</v>
      </c>
      <c r="J18" s="96">
        <f t="shared" si="6"/>
        <v>7931.9842611613522</v>
      </c>
      <c r="K18" s="96"/>
      <c r="L18" s="96"/>
    </row>
    <row r="19" spans="1:12" x14ac:dyDescent="0.25">
      <c r="A19">
        <f t="shared" si="1"/>
        <v>13</v>
      </c>
      <c r="B19" s="96">
        <f t="shared" si="7"/>
        <v>785921.32117292623</v>
      </c>
      <c r="C19" s="96">
        <f t="shared" si="2"/>
        <v>1234.5011282621836</v>
      </c>
      <c r="D19" s="93">
        <f t="shared" si="3"/>
        <v>6225.1954604195071</v>
      </c>
      <c r="E19" s="93">
        <f t="shared" si="0"/>
        <v>7459.6965886816906</v>
      </c>
      <c r="F19" s="93">
        <f>IF(A19="","",B19*Catálogos!$R$1)</f>
        <v>471.5527927037557</v>
      </c>
      <c r="G19" s="93">
        <f>IF(A19="","",IF(B19=0,0,$B$4*Catálogos!$Q$6))</f>
        <v>0</v>
      </c>
      <c r="H19" s="93">
        <f t="shared" si="4"/>
        <v>0</v>
      </c>
      <c r="I19" s="93">
        <f t="shared" si="5"/>
        <v>7931.2493813854462</v>
      </c>
      <c r="J19" s="96">
        <f t="shared" si="6"/>
        <v>7931.2493813854462</v>
      </c>
      <c r="K19" s="96"/>
      <c r="L19" s="96"/>
    </row>
    <row r="20" spans="1:12" x14ac:dyDescent="0.25">
      <c r="A20">
        <f t="shared" si="1"/>
        <v>14</v>
      </c>
      <c r="B20" s="96">
        <f t="shared" si="7"/>
        <v>784686.82004466408</v>
      </c>
      <c r="C20" s="96">
        <f t="shared" si="2"/>
        <v>1244.2794745323563</v>
      </c>
      <c r="D20" s="93">
        <f t="shared" si="3"/>
        <v>6215.4171141493343</v>
      </c>
      <c r="E20" s="93">
        <f t="shared" si="0"/>
        <v>7459.6965886816906</v>
      </c>
      <c r="F20" s="93">
        <f>IF(A20="","",B20*Catálogos!$R$1)</f>
        <v>470.81209202679838</v>
      </c>
      <c r="G20" s="93">
        <f>IF(A20="","",IF(B20=0,0,$B$4*Catálogos!$Q$6))</f>
        <v>0</v>
      </c>
      <c r="H20" s="93">
        <f t="shared" si="4"/>
        <v>0</v>
      </c>
      <c r="I20" s="93">
        <f t="shared" si="5"/>
        <v>7930.508680708489</v>
      </c>
      <c r="J20" s="96">
        <f t="shared" si="6"/>
        <v>7930.508680708489</v>
      </c>
      <c r="K20" s="96"/>
      <c r="L20" s="96"/>
    </row>
    <row r="21" spans="1:12" x14ac:dyDescent="0.25">
      <c r="A21">
        <f t="shared" si="1"/>
        <v>15</v>
      </c>
      <c r="B21" s="96">
        <f t="shared" si="7"/>
        <v>783442.54057013174</v>
      </c>
      <c r="C21" s="96">
        <f t="shared" si="2"/>
        <v>1254.1352739968515</v>
      </c>
      <c r="D21" s="93">
        <f t="shared" si="3"/>
        <v>6205.5613146848391</v>
      </c>
      <c r="E21" s="93">
        <f t="shared" si="0"/>
        <v>7459.6965886816906</v>
      </c>
      <c r="F21" s="93">
        <f>IF(A21="","",B21*Catálogos!$R$1)</f>
        <v>470.06552434207902</v>
      </c>
      <c r="G21" s="93">
        <f>IF(A21="","",IF(B21=0,0,$B$4*Catálogos!$Q$6))</f>
        <v>0</v>
      </c>
      <c r="H21" s="93">
        <f t="shared" si="4"/>
        <v>0</v>
      </c>
      <c r="I21" s="93">
        <f t="shared" si="5"/>
        <v>7929.7621130237694</v>
      </c>
      <c r="J21" s="96">
        <f t="shared" si="6"/>
        <v>7929.7621130237694</v>
      </c>
      <c r="K21" s="96"/>
      <c r="L21" s="96"/>
    </row>
    <row r="22" spans="1:12" x14ac:dyDescent="0.25">
      <c r="A22">
        <f t="shared" si="1"/>
        <v>16</v>
      </c>
      <c r="B22" s="96">
        <f t="shared" si="7"/>
        <v>782188.40529613488</v>
      </c>
      <c r="C22" s="96">
        <f t="shared" si="2"/>
        <v>1264.069140153817</v>
      </c>
      <c r="D22" s="93">
        <f t="shared" si="3"/>
        <v>6195.6274485278736</v>
      </c>
      <c r="E22" s="93">
        <f t="shared" si="0"/>
        <v>7459.6965886816906</v>
      </c>
      <c r="F22" s="93">
        <f>IF(A22="","",B22*Catálogos!$R$1)</f>
        <v>469.31304317768087</v>
      </c>
      <c r="G22" s="93">
        <f>IF(A22="","",IF(B22=0,0,$B$4*Catálogos!$Q$6))</f>
        <v>0</v>
      </c>
      <c r="H22" s="93">
        <f t="shared" si="4"/>
        <v>0</v>
      </c>
      <c r="I22" s="93">
        <f t="shared" si="5"/>
        <v>7929.0096318593714</v>
      </c>
      <c r="J22" s="96">
        <f t="shared" si="6"/>
        <v>7929.0096318593714</v>
      </c>
      <c r="K22" s="96"/>
      <c r="L22" s="96"/>
    </row>
    <row r="23" spans="1:12" x14ac:dyDescent="0.25">
      <c r="A23">
        <f t="shared" si="1"/>
        <v>17</v>
      </c>
      <c r="B23" s="96">
        <f t="shared" si="7"/>
        <v>780924.33615598106</v>
      </c>
      <c r="C23" s="96">
        <f t="shared" si="2"/>
        <v>1274.0816913608487</v>
      </c>
      <c r="D23" s="93">
        <f t="shared" si="3"/>
        <v>6185.6148973208419</v>
      </c>
      <c r="E23" s="93">
        <f t="shared" si="0"/>
        <v>7459.6965886816906</v>
      </c>
      <c r="F23" s="93">
        <f>IF(A23="","",B23*Catálogos!$R$1)</f>
        <v>468.55460169358861</v>
      </c>
      <c r="G23" s="93">
        <f>IF(A23="","",IF(B23=0,0,$B$4*Catálogos!$Q$6))</f>
        <v>0</v>
      </c>
      <c r="H23" s="93">
        <f t="shared" si="4"/>
        <v>0</v>
      </c>
      <c r="I23" s="93">
        <f t="shared" si="5"/>
        <v>7928.2511903752793</v>
      </c>
      <c r="J23" s="96">
        <f t="shared" si="6"/>
        <v>7928.2511903752793</v>
      </c>
      <c r="K23" s="96"/>
      <c r="L23" s="96"/>
    </row>
    <row r="24" spans="1:12" x14ac:dyDescent="0.25">
      <c r="A24">
        <f t="shared" si="1"/>
        <v>18</v>
      </c>
      <c r="B24" s="96">
        <f t="shared" si="7"/>
        <v>779650.25446462026</v>
      </c>
      <c r="C24" s="96">
        <f t="shared" si="2"/>
        <v>1284.1735508734855</v>
      </c>
      <c r="D24" s="93">
        <f t="shared" si="3"/>
        <v>6175.5230378082051</v>
      </c>
      <c r="E24" s="93">
        <f t="shared" si="0"/>
        <v>7459.6965886816906</v>
      </c>
      <c r="F24" s="93">
        <f>IF(A24="","",B24*Catálogos!$R$1)</f>
        <v>467.79015267877213</v>
      </c>
      <c r="G24" s="93">
        <f>IF(A24="","",IF(B24=0,0,$B$4*Catálogos!$Q$6))</f>
        <v>0</v>
      </c>
      <c r="H24" s="93">
        <f t="shared" si="4"/>
        <v>0</v>
      </c>
      <c r="I24" s="93">
        <f t="shared" si="5"/>
        <v>7927.4867413604625</v>
      </c>
      <c r="J24" s="96">
        <f t="shared" si="6"/>
        <v>7927.4867413604625</v>
      </c>
      <c r="K24" s="96"/>
      <c r="L24" s="96"/>
    </row>
    <row r="25" spans="1:12" x14ac:dyDescent="0.25">
      <c r="A25">
        <f t="shared" si="1"/>
        <v>19</v>
      </c>
      <c r="B25" s="96">
        <f t="shared" si="7"/>
        <v>778366.08091374673</v>
      </c>
      <c r="C25" s="96">
        <f t="shared" si="2"/>
        <v>1294.3453468840044</v>
      </c>
      <c r="D25" s="93">
        <f t="shared" si="3"/>
        <v>6165.3512417976863</v>
      </c>
      <c r="E25" s="93">
        <f t="shared" si="0"/>
        <v>7459.6965886816906</v>
      </c>
      <c r="F25" s="93">
        <f>IF(A25="","",B25*Catálogos!$R$1)</f>
        <v>467.01964854824797</v>
      </c>
      <c r="G25" s="93">
        <f>IF(A25="","",IF(B25=0,0,$B$4*Catálogos!$Q$6))</f>
        <v>0</v>
      </c>
      <c r="H25" s="93">
        <f t="shared" si="4"/>
        <v>0</v>
      </c>
      <c r="I25" s="93">
        <f t="shared" si="5"/>
        <v>7926.716237229939</v>
      </c>
      <c r="J25" s="96">
        <f t="shared" si="6"/>
        <v>7926.716237229939</v>
      </c>
      <c r="K25" s="96"/>
      <c r="L25" s="96"/>
    </row>
    <row r="26" spans="1:12" x14ac:dyDescent="0.25">
      <c r="A26">
        <f t="shared" si="1"/>
        <v>20</v>
      </c>
      <c r="B26" s="96">
        <f t="shared" si="7"/>
        <v>777071.73556686274</v>
      </c>
      <c r="C26" s="96">
        <f t="shared" si="2"/>
        <v>1304.5977125605232</v>
      </c>
      <c r="D26" s="93">
        <f t="shared" si="3"/>
        <v>6155.0988761211675</v>
      </c>
      <c r="E26" s="93">
        <f t="shared" si="0"/>
        <v>7459.6965886816906</v>
      </c>
      <c r="F26" s="93">
        <f>IF(A26="","",B26*Catálogos!$R$1)</f>
        <v>466.2430413401176</v>
      </c>
      <c r="G26" s="93">
        <f>IF(A26="","",IF(B26=0,0,$B$4*Catálogos!$Q$6))</f>
        <v>0</v>
      </c>
      <c r="H26" s="93">
        <f t="shared" si="4"/>
        <v>0</v>
      </c>
      <c r="I26" s="93">
        <f t="shared" si="5"/>
        <v>7925.9396300218086</v>
      </c>
      <c r="J26" s="96">
        <f t="shared" si="6"/>
        <v>7925.9396300218086</v>
      </c>
      <c r="K26" s="96"/>
      <c r="L26" s="96"/>
    </row>
    <row r="27" spans="1:12" x14ac:dyDescent="0.25">
      <c r="A27">
        <f t="shared" si="1"/>
        <v>21</v>
      </c>
      <c r="B27" s="96">
        <f t="shared" si="7"/>
        <v>775767.13785430219</v>
      </c>
      <c r="C27" s="96">
        <f t="shared" si="2"/>
        <v>1314.9312860864138</v>
      </c>
      <c r="D27" s="93">
        <f t="shared" si="3"/>
        <v>6144.7653025952768</v>
      </c>
      <c r="E27" s="93">
        <f t="shared" si="0"/>
        <v>7459.6965886816906</v>
      </c>
      <c r="F27" s="93">
        <f>IF(A27="","",B27*Catálogos!$R$1)</f>
        <v>465.46028271258126</v>
      </c>
      <c r="G27" s="93">
        <f>IF(A27="","",IF(B27=0,0,$B$4*Catálogos!$Q$6))</f>
        <v>0</v>
      </c>
      <c r="H27" s="93">
        <f t="shared" si="4"/>
        <v>0</v>
      </c>
      <c r="I27" s="93">
        <f t="shared" si="5"/>
        <v>7925.1568713942715</v>
      </c>
      <c r="J27" s="96">
        <f t="shared" si="6"/>
        <v>7925.1568713942715</v>
      </c>
      <c r="K27" s="96"/>
      <c r="L27" s="96"/>
    </row>
    <row r="28" spans="1:12" x14ac:dyDescent="0.25">
      <c r="A28">
        <f t="shared" si="1"/>
        <v>22</v>
      </c>
      <c r="B28" s="96">
        <f t="shared" si="7"/>
        <v>774452.20656821574</v>
      </c>
      <c r="C28" s="96">
        <f t="shared" si="2"/>
        <v>1325.3467107000279</v>
      </c>
      <c r="D28" s="93">
        <f t="shared" si="3"/>
        <v>6134.3498779816628</v>
      </c>
      <c r="E28" s="93">
        <f t="shared" si="0"/>
        <v>7459.6965886816906</v>
      </c>
      <c r="F28" s="93">
        <f>IF(A28="","",B28*Catálogos!$R$1)</f>
        <v>464.67132394092943</v>
      </c>
      <c r="G28" s="93">
        <f>IF(A28="","",IF(B28=0,0,$B$4*Catálogos!$Q$6))</f>
        <v>0</v>
      </c>
      <c r="H28" s="93">
        <f t="shared" si="4"/>
        <v>0</v>
      </c>
      <c r="I28" s="93">
        <f t="shared" si="5"/>
        <v>7924.3679126226198</v>
      </c>
      <c r="J28" s="96">
        <f t="shared" si="6"/>
        <v>7924.3679126226198</v>
      </c>
      <c r="K28" s="96"/>
      <c r="L28" s="96"/>
    </row>
    <row r="29" spans="1:12" x14ac:dyDescent="0.25">
      <c r="A29">
        <f t="shared" si="1"/>
        <v>23</v>
      </c>
      <c r="B29" s="96">
        <f t="shared" si="7"/>
        <v>773126.85985751566</v>
      </c>
      <c r="C29" s="96">
        <f t="shared" si="2"/>
        <v>1335.8446347347381</v>
      </c>
      <c r="D29" s="93">
        <f t="shared" si="3"/>
        <v>6123.8519539469526</v>
      </c>
      <c r="E29" s="93">
        <f t="shared" si="0"/>
        <v>7459.6965886816906</v>
      </c>
      <c r="F29" s="93">
        <f>IF(A29="","",B29*Catálogos!$R$1)</f>
        <v>463.87611591450934</v>
      </c>
      <c r="G29" s="93">
        <f>IF(A29="","",IF(B29=0,0,$B$4*Catálogos!$Q$6))</f>
        <v>0</v>
      </c>
      <c r="H29" s="93">
        <f t="shared" si="4"/>
        <v>0</v>
      </c>
      <c r="I29" s="93">
        <f t="shared" si="5"/>
        <v>7923.5727045962003</v>
      </c>
      <c r="J29" s="96">
        <f t="shared" si="6"/>
        <v>7923.5727045962003</v>
      </c>
      <c r="K29" s="96"/>
      <c r="L29" s="96"/>
    </row>
    <row r="30" spans="1:12" x14ac:dyDescent="0.25">
      <c r="A30">
        <f t="shared" si="1"/>
        <v>24</v>
      </c>
      <c r="B30" s="96">
        <f t="shared" si="7"/>
        <v>771791.01522278087</v>
      </c>
      <c r="C30" s="96">
        <f t="shared" si="2"/>
        <v>1346.4257116592908</v>
      </c>
      <c r="D30" s="93">
        <f t="shared" si="3"/>
        <v>6113.2708770223999</v>
      </c>
      <c r="E30" s="93">
        <f t="shared" si="0"/>
        <v>7459.6965886816906</v>
      </c>
      <c r="F30" s="93">
        <f>IF(A30="","",B30*Catálogos!$R$1)</f>
        <v>463.0746091336685</v>
      </c>
      <c r="G30" s="93">
        <f>IF(A30="","",IF(B30=0,0,$B$4*Catálogos!$Q$6))</f>
        <v>0</v>
      </c>
      <c r="H30" s="93">
        <f t="shared" si="4"/>
        <v>0</v>
      </c>
      <c r="I30" s="93">
        <f t="shared" si="5"/>
        <v>7922.7711978153593</v>
      </c>
      <c r="J30" s="96">
        <f t="shared" si="6"/>
        <v>7922.7711978153593</v>
      </c>
      <c r="K30" s="96"/>
      <c r="L30" s="96"/>
    </row>
    <row r="31" spans="1:12" x14ac:dyDescent="0.25">
      <c r="A31">
        <f t="shared" si="1"/>
        <v>25</v>
      </c>
      <c r="B31" s="96">
        <f t="shared" si="7"/>
        <v>770444.58951112162</v>
      </c>
      <c r="C31" s="96">
        <f t="shared" si="2"/>
        <v>1357.0906001184867</v>
      </c>
      <c r="D31" s="93">
        <f t="shared" si="3"/>
        <v>6102.6059885632039</v>
      </c>
      <c r="E31" s="93">
        <f t="shared" si="0"/>
        <v>7459.6965886816906</v>
      </c>
      <c r="F31" s="93">
        <f>IF(A31="","",B31*Catálogos!$R$1)</f>
        <v>462.26675370667294</v>
      </c>
      <c r="G31" s="93">
        <f>IF(A31="","",IF(B31=0,0,$B$4*Catálogos!$Q$6))</f>
        <v>0</v>
      </c>
      <c r="H31" s="93">
        <f t="shared" si="4"/>
        <v>0</v>
      </c>
      <c r="I31" s="93">
        <f t="shared" si="5"/>
        <v>7921.9633423883633</v>
      </c>
      <c r="J31" s="96">
        <f t="shared" si="6"/>
        <v>7921.9633423883633</v>
      </c>
      <c r="K31" s="96"/>
      <c r="L31" s="96"/>
    </row>
    <row r="32" spans="1:12" x14ac:dyDescent="0.25">
      <c r="A32">
        <f t="shared" si="1"/>
        <v>26</v>
      </c>
      <c r="B32" s="96">
        <f t="shared" si="7"/>
        <v>769087.49891100312</v>
      </c>
      <c r="C32" s="96">
        <f t="shared" si="2"/>
        <v>1367.839963974181</v>
      </c>
      <c r="D32" s="93">
        <f t="shared" si="3"/>
        <v>6091.8566247075096</v>
      </c>
      <c r="E32" s="93">
        <f t="shared" si="0"/>
        <v>7459.6965886816906</v>
      </c>
      <c r="F32" s="93">
        <f>IF(A32="","",B32*Catálogos!$R$1)</f>
        <v>461.45249934660183</v>
      </c>
      <c r="G32" s="93">
        <f>IF(A32="","",IF(B32=0,0,$B$4*Catálogos!$Q$6))</f>
        <v>0</v>
      </c>
      <c r="H32" s="93">
        <f t="shared" si="4"/>
        <v>0</v>
      </c>
      <c r="I32" s="93">
        <f t="shared" si="5"/>
        <v>7921.1490880282927</v>
      </c>
      <c r="J32" s="96">
        <f t="shared" si="6"/>
        <v>7921.1490880282927</v>
      </c>
      <c r="K32" s="96"/>
      <c r="L32" s="96"/>
    </row>
    <row r="33" spans="1:12" x14ac:dyDescent="0.25">
      <c r="A33">
        <f t="shared" si="1"/>
        <v>27</v>
      </c>
      <c r="B33" s="96">
        <f t="shared" si="7"/>
        <v>767719.65894702892</v>
      </c>
      <c r="C33" s="96">
        <f t="shared" si="2"/>
        <v>1378.6744723466018</v>
      </c>
      <c r="D33" s="93">
        <f t="shared" si="3"/>
        <v>6081.0221163350889</v>
      </c>
      <c r="E33" s="93">
        <f t="shared" si="0"/>
        <v>7459.6965886816906</v>
      </c>
      <c r="F33" s="93">
        <f>IF(A33="","",B33*Catálogos!$R$1)</f>
        <v>460.6317953682173</v>
      </c>
      <c r="G33" s="93">
        <f>IF(A33="","",IF(B33=0,0,$B$4*Catálogos!$Q$6))</f>
        <v>0</v>
      </c>
      <c r="H33" s="93">
        <f t="shared" si="4"/>
        <v>0</v>
      </c>
      <c r="I33" s="93">
        <f t="shared" si="5"/>
        <v>7920.328384049908</v>
      </c>
      <c r="J33" s="96">
        <f t="shared" si="6"/>
        <v>7920.328384049908</v>
      </c>
      <c r="K33" s="96"/>
      <c r="L33" s="96"/>
    </row>
    <row r="34" spans="1:12" x14ac:dyDescent="0.25">
      <c r="A34">
        <f t="shared" si="1"/>
        <v>28</v>
      </c>
      <c r="B34" s="96">
        <f t="shared" si="7"/>
        <v>766340.98447468237</v>
      </c>
      <c r="C34" s="96">
        <f t="shared" si="2"/>
        <v>1389.5947996560062</v>
      </c>
      <c r="D34" s="93">
        <f t="shared" si="3"/>
        <v>6070.1017890256844</v>
      </c>
      <c r="E34" s="93">
        <f t="shared" si="0"/>
        <v>7459.6965886816906</v>
      </c>
      <c r="F34" s="93">
        <f>IF(A34="","",B34*Catálogos!$R$1)</f>
        <v>459.8045906848094</v>
      </c>
      <c r="G34" s="93">
        <f>IF(A34="","",IF(B34=0,0,$B$4*Catálogos!$Q$6))</f>
        <v>0</v>
      </c>
      <c r="H34" s="93">
        <f t="shared" si="4"/>
        <v>0</v>
      </c>
      <c r="I34" s="93">
        <f t="shared" si="5"/>
        <v>7919.5011793664999</v>
      </c>
      <c r="J34" s="96">
        <f t="shared" si="6"/>
        <v>7919.5011793664999</v>
      </c>
      <c r="K34" s="96"/>
      <c r="L34" s="96"/>
    </row>
    <row r="35" spans="1:12" x14ac:dyDescent="0.25">
      <c r="A35">
        <f t="shared" si="1"/>
        <v>29</v>
      </c>
      <c r="B35" s="96">
        <f t="shared" si="7"/>
        <v>764951.38967502641</v>
      </c>
      <c r="C35" s="96">
        <f t="shared" si="2"/>
        <v>1400.601625664659</v>
      </c>
      <c r="D35" s="93">
        <f t="shared" si="3"/>
        <v>6059.0949630170317</v>
      </c>
      <c r="E35" s="93">
        <f t="shared" si="0"/>
        <v>7459.6965886816906</v>
      </c>
      <c r="F35" s="93">
        <f>IF(A35="","",B35*Catálogos!$R$1)</f>
        <v>458.97083380501579</v>
      </c>
      <c r="G35" s="93">
        <f>IF(A35="","",IF(B35=0,0,$B$4*Catálogos!$Q$6))</f>
        <v>0</v>
      </c>
      <c r="H35" s="93">
        <f t="shared" si="4"/>
        <v>0</v>
      </c>
      <c r="I35" s="93">
        <f t="shared" si="5"/>
        <v>7918.6674224867065</v>
      </c>
      <c r="J35" s="96">
        <f t="shared" si="6"/>
        <v>7918.6674224867065</v>
      </c>
      <c r="K35" s="96"/>
      <c r="L35" s="96"/>
    </row>
    <row r="36" spans="1:12" x14ac:dyDescent="0.25">
      <c r="A36">
        <f t="shared" si="1"/>
        <v>30</v>
      </c>
      <c r="B36" s="96">
        <f t="shared" si="7"/>
        <v>763550.78804936178</v>
      </c>
      <c r="C36" s="96">
        <f t="shared" si="2"/>
        <v>1411.695635519146</v>
      </c>
      <c r="D36" s="93">
        <f t="shared" si="3"/>
        <v>6048.0009531625446</v>
      </c>
      <c r="E36" s="93">
        <f t="shared" si="0"/>
        <v>7459.6965886816906</v>
      </c>
      <c r="F36" s="93">
        <f>IF(A36="","",B36*Catálogos!$R$1)</f>
        <v>458.13047282961702</v>
      </c>
      <c r="G36" s="93">
        <f>IF(A36="","",IF(B36=0,0,$B$4*Catálogos!$Q$6))</f>
        <v>0</v>
      </c>
      <c r="H36" s="93">
        <f t="shared" si="4"/>
        <v>0</v>
      </c>
      <c r="I36" s="93">
        <f t="shared" si="5"/>
        <v>7917.8270615113079</v>
      </c>
      <c r="J36" s="96">
        <f t="shared" si="6"/>
        <v>7917.8270615113079</v>
      </c>
      <c r="K36" s="96"/>
      <c r="L36" s="96"/>
    </row>
    <row r="37" spans="1:12" x14ac:dyDescent="0.25">
      <c r="A37">
        <f t="shared" si="1"/>
        <v>31</v>
      </c>
      <c r="B37" s="96">
        <f t="shared" si="7"/>
        <v>762139.09241384268</v>
      </c>
      <c r="C37" s="96">
        <f t="shared" si="2"/>
        <v>1422.8775197930217</v>
      </c>
      <c r="D37" s="93">
        <f t="shared" si="3"/>
        <v>6036.8190688886689</v>
      </c>
      <c r="E37" s="93">
        <f t="shared" si="0"/>
        <v>7459.6965886816906</v>
      </c>
      <c r="F37" s="93">
        <f>IF(A37="","",B37*Catálogos!$R$1)</f>
        <v>457.28345544830557</v>
      </c>
      <c r="G37" s="93">
        <f>IF(A37="","",IF(B37=0,0,$B$4*Catálogos!$Q$6))</f>
        <v>0</v>
      </c>
      <c r="H37" s="93">
        <f t="shared" si="4"/>
        <v>0</v>
      </c>
      <c r="I37" s="93">
        <f t="shared" si="5"/>
        <v>7916.9800441299958</v>
      </c>
      <c r="J37" s="96">
        <f t="shared" si="6"/>
        <v>7916.9800441299958</v>
      </c>
      <c r="K37" s="96"/>
      <c r="L37" s="96"/>
    </row>
    <row r="38" spans="1:12" x14ac:dyDescent="0.25">
      <c r="A38">
        <f t="shared" si="1"/>
        <v>32</v>
      </c>
      <c r="B38" s="96">
        <f t="shared" si="7"/>
        <v>760716.21489404968</v>
      </c>
      <c r="C38" s="96">
        <f t="shared" si="2"/>
        <v>1434.1479745298002</v>
      </c>
      <c r="D38" s="93">
        <f t="shared" si="3"/>
        <v>6025.5486141518904</v>
      </c>
      <c r="E38" s="93">
        <f t="shared" si="0"/>
        <v>7459.6965886816906</v>
      </c>
      <c r="F38" s="93">
        <f>IF(A38="","",B38*Catálogos!$R$1)</f>
        <v>456.4297289364298</v>
      </c>
      <c r="G38" s="93">
        <f>IF(A38="","",IF(B38=0,0,$B$4*Catálogos!$Q$6))</f>
        <v>0</v>
      </c>
      <c r="H38" s="93">
        <f t="shared" si="4"/>
        <v>0</v>
      </c>
      <c r="I38" s="93">
        <f t="shared" si="5"/>
        <v>7916.1263176181201</v>
      </c>
      <c r="J38" s="96">
        <f t="shared" si="6"/>
        <v>7916.1263176181201</v>
      </c>
      <c r="K38" s="96"/>
      <c r="L38" s="96"/>
    </row>
    <row r="39" spans="1:12" x14ac:dyDescent="0.25">
      <c r="A39">
        <f t="shared" si="1"/>
        <v>33</v>
      </c>
      <c r="B39" s="96">
        <f t="shared" si="7"/>
        <v>759282.06691951992</v>
      </c>
      <c r="C39" s="96">
        <f t="shared" si="2"/>
        <v>1445.5077012862757</v>
      </c>
      <c r="D39" s="93">
        <f t="shared" si="3"/>
        <v>6014.1888873954149</v>
      </c>
      <c r="E39" s="93">
        <f t="shared" si="0"/>
        <v>7459.6965886816906</v>
      </c>
      <c r="F39" s="93">
        <f>IF(A39="","",B39*Catálogos!$R$1)</f>
        <v>455.56924015171188</v>
      </c>
      <c r="G39" s="93">
        <f>IF(A39="","",IF(B39=0,0,$B$4*Catálogos!$Q$6))</f>
        <v>0</v>
      </c>
      <c r="H39" s="93">
        <f t="shared" si="4"/>
        <v>0</v>
      </c>
      <c r="I39" s="93">
        <f t="shared" si="5"/>
        <v>7915.2658288334023</v>
      </c>
      <c r="J39" s="96">
        <f t="shared" si="6"/>
        <v>7915.2658288334023</v>
      </c>
      <c r="K39" s="96"/>
      <c r="L39" s="96"/>
    </row>
    <row r="40" spans="1:12" x14ac:dyDescent="0.25">
      <c r="A40">
        <f t="shared" si="1"/>
        <v>34</v>
      </c>
      <c r="B40" s="96">
        <f t="shared" si="7"/>
        <v>757836.55921823368</v>
      </c>
      <c r="C40" s="96">
        <f t="shared" si="2"/>
        <v>1456.9574071761972</v>
      </c>
      <c r="D40" s="93">
        <f t="shared" si="3"/>
        <v>6002.7391815054934</v>
      </c>
      <c r="E40" s="93">
        <f t="shared" si="0"/>
        <v>7459.6965886816906</v>
      </c>
      <c r="F40" s="93">
        <f>IF(A40="","",B40*Catálogos!$R$1)</f>
        <v>454.70193553094015</v>
      </c>
      <c r="G40" s="93">
        <f>IF(A40="","",IF(B40=0,0,$B$4*Catálogos!$Q$6))</f>
        <v>0</v>
      </c>
      <c r="H40" s="93">
        <f t="shared" si="4"/>
        <v>0</v>
      </c>
      <c r="I40" s="93">
        <f t="shared" si="5"/>
        <v>7914.3985242126309</v>
      </c>
      <c r="J40" s="96">
        <f t="shared" si="6"/>
        <v>7914.3985242126309</v>
      </c>
      <c r="K40" s="96"/>
      <c r="L40" s="96"/>
    </row>
    <row r="41" spans="1:12" x14ac:dyDescent="0.25">
      <c r="A41">
        <f t="shared" si="1"/>
        <v>35</v>
      </c>
      <c r="B41" s="96">
        <f t="shared" si="7"/>
        <v>756379.60181105754</v>
      </c>
      <c r="C41" s="96">
        <f t="shared" si="2"/>
        <v>1468.4978049142828</v>
      </c>
      <c r="D41" s="93">
        <f t="shared" si="3"/>
        <v>5991.1987837674078</v>
      </c>
      <c r="E41" s="93">
        <f t="shared" si="0"/>
        <v>7459.6965886816906</v>
      </c>
      <c r="F41" s="93">
        <f>IF(A41="","",B41*Catálogos!$R$1)</f>
        <v>453.8277610866345</v>
      </c>
      <c r="G41" s="93">
        <f>IF(A41="","",IF(B41=0,0,$B$4*Catálogos!$Q$6))</f>
        <v>0</v>
      </c>
      <c r="H41" s="93">
        <f t="shared" si="4"/>
        <v>0</v>
      </c>
      <c r="I41" s="93">
        <f t="shared" si="5"/>
        <v>7913.524349768325</v>
      </c>
      <c r="J41" s="96">
        <f t="shared" si="6"/>
        <v>7913.524349768325</v>
      </c>
      <c r="K41" s="96"/>
      <c r="L41" s="96"/>
    </row>
    <row r="42" spans="1:12" x14ac:dyDescent="0.25">
      <c r="A42">
        <f t="shared" si="1"/>
        <v>36</v>
      </c>
      <c r="B42" s="96">
        <f t="shared" si="7"/>
        <v>754911.10400614329</v>
      </c>
      <c r="C42" s="96">
        <f t="shared" si="2"/>
        <v>1480.1296128605863</v>
      </c>
      <c r="D42" s="93">
        <f t="shared" si="3"/>
        <v>5979.5669758211043</v>
      </c>
      <c r="E42" s="93">
        <f t="shared" si="0"/>
        <v>7459.6965886816906</v>
      </c>
      <c r="F42" s="93">
        <f>IF(A42="","",B42*Catálogos!$R$1)</f>
        <v>452.94666240368593</v>
      </c>
      <c r="G42" s="93">
        <f>IF(A42="","",IF(B42=0,0,$B$4*Catálogos!$Q$6))</f>
        <v>0</v>
      </c>
      <c r="H42" s="93">
        <f t="shared" si="4"/>
        <v>0</v>
      </c>
      <c r="I42" s="93">
        <f t="shared" si="5"/>
        <v>7912.6432510853765</v>
      </c>
      <c r="J42" s="96">
        <f t="shared" si="6"/>
        <v>7912.6432510853765</v>
      </c>
      <c r="K42" s="96"/>
      <c r="L42" s="96"/>
    </row>
    <row r="43" spans="1:12" x14ac:dyDescent="0.25">
      <c r="A43">
        <f t="shared" si="1"/>
        <v>37</v>
      </c>
      <c r="B43" s="96">
        <f t="shared" si="7"/>
        <v>753430.97439328267</v>
      </c>
      <c r="C43" s="96">
        <f t="shared" si="2"/>
        <v>1491.8535550652086</v>
      </c>
      <c r="D43" s="93">
        <f t="shared" si="3"/>
        <v>5967.843033616482</v>
      </c>
      <c r="E43" s="93">
        <f t="shared" si="0"/>
        <v>7459.6965886816906</v>
      </c>
      <c r="F43" s="93">
        <f>IF(A43="","",B43*Catálogos!$R$1)</f>
        <v>452.05858463596957</v>
      </c>
      <c r="G43" s="93">
        <f>IF(A43="","",IF(B43=0,0,$B$4*Catálogos!$Q$6))</f>
        <v>0</v>
      </c>
      <c r="H43" s="93">
        <f t="shared" si="4"/>
        <v>0</v>
      </c>
      <c r="I43" s="93">
        <f t="shared" si="5"/>
        <v>7911.7551733176606</v>
      </c>
      <c r="J43" s="96">
        <f t="shared" si="6"/>
        <v>7911.7551733176606</v>
      </c>
      <c r="K43" s="96"/>
      <c r="L43" s="96"/>
    </row>
    <row r="44" spans="1:12" x14ac:dyDescent="0.25">
      <c r="A44">
        <f t="shared" si="1"/>
        <v>38</v>
      </c>
      <c r="B44" s="96">
        <f t="shared" si="7"/>
        <v>751939.12083821744</v>
      </c>
      <c r="C44" s="96">
        <f t="shared" si="2"/>
        <v>1503.670361313375</v>
      </c>
      <c r="D44" s="93">
        <f t="shared" si="3"/>
        <v>5956.0262273683156</v>
      </c>
      <c r="E44" s="93">
        <f t="shared" si="0"/>
        <v>7459.6965886816906</v>
      </c>
      <c r="F44" s="93">
        <f>IF(A44="","",B44*Catálogos!$R$1)</f>
        <v>451.1634725029304</v>
      </c>
      <c r="G44" s="93">
        <f>IF(A44="","",IF(B44=0,0,$B$4*Catálogos!$Q$6))</f>
        <v>0</v>
      </c>
      <c r="H44" s="93">
        <f t="shared" si="4"/>
        <v>0</v>
      </c>
      <c r="I44" s="93">
        <f t="shared" si="5"/>
        <v>7910.8600611846214</v>
      </c>
      <c r="J44" s="96">
        <f t="shared" si="6"/>
        <v>7910.8600611846214</v>
      </c>
      <c r="K44" s="96"/>
      <c r="L44" s="96"/>
    </row>
    <row r="45" spans="1:12" x14ac:dyDescent="0.25">
      <c r="A45">
        <f t="shared" si="1"/>
        <v>39</v>
      </c>
      <c r="B45" s="96">
        <f t="shared" si="7"/>
        <v>750435.45047690405</v>
      </c>
      <c r="C45" s="96">
        <f t="shared" si="2"/>
        <v>1515.5807671708535</v>
      </c>
      <c r="D45" s="93">
        <f t="shared" si="3"/>
        <v>5944.1158215108371</v>
      </c>
      <c r="E45" s="93">
        <f t="shared" si="0"/>
        <v>7459.6965886816906</v>
      </c>
      <c r="F45" s="93">
        <f>IF(A45="","",B45*Catálogos!$R$1)</f>
        <v>450.26127028614241</v>
      </c>
      <c r="G45" s="93">
        <f>IF(A45="","",IF(B45=0,0,$B$4*Catálogos!$Q$6))</f>
        <v>0</v>
      </c>
      <c r="H45" s="93">
        <f t="shared" si="4"/>
        <v>0</v>
      </c>
      <c r="I45" s="93">
        <f t="shared" si="5"/>
        <v>7909.9578589678331</v>
      </c>
      <c r="J45" s="96">
        <f t="shared" si="6"/>
        <v>7909.9578589678331</v>
      </c>
      <c r="K45" s="96"/>
      <c r="L45" s="96"/>
    </row>
    <row r="46" spans="1:12" x14ac:dyDescent="0.25">
      <c r="A46">
        <f t="shared" si="1"/>
        <v>40</v>
      </c>
      <c r="B46" s="96">
        <f t="shared" si="7"/>
        <v>748919.86970973318</v>
      </c>
      <c r="C46" s="96">
        <f t="shared" si="2"/>
        <v>1527.5855140297508</v>
      </c>
      <c r="D46" s="93">
        <f t="shared" si="3"/>
        <v>5932.1110746519398</v>
      </c>
      <c r="E46" s="93">
        <f t="shared" si="0"/>
        <v>7459.6965886816906</v>
      </c>
      <c r="F46" s="93">
        <f>IF(A46="","",B46*Catálogos!$R$1)</f>
        <v>449.35192182583984</v>
      </c>
      <c r="G46" s="93">
        <f>IF(A46="","",IF(B46=0,0,$B$4*Catálogos!$Q$6))</f>
        <v>0</v>
      </c>
      <c r="H46" s="93">
        <f t="shared" si="4"/>
        <v>0</v>
      </c>
      <c r="I46" s="93">
        <f t="shared" si="5"/>
        <v>7909.0485105075304</v>
      </c>
      <c r="J46" s="96">
        <f t="shared" si="6"/>
        <v>7909.0485105075304</v>
      </c>
      <c r="K46" s="96"/>
      <c r="L46" s="96"/>
    </row>
    <row r="47" spans="1:12" x14ac:dyDescent="0.25">
      <c r="A47">
        <f t="shared" si="1"/>
        <v>41</v>
      </c>
      <c r="B47" s="96">
        <f t="shared" si="7"/>
        <v>747392.28419570345</v>
      </c>
      <c r="C47" s="96">
        <f t="shared" si="2"/>
        <v>1539.6853491546563</v>
      </c>
      <c r="D47" s="93">
        <f t="shared" si="3"/>
        <v>5920.0112395270344</v>
      </c>
      <c r="E47" s="93">
        <f t="shared" si="0"/>
        <v>7459.6965886816906</v>
      </c>
      <c r="F47" s="93">
        <f>IF(A47="","",B47*Catálogos!$R$1)</f>
        <v>448.43537051742203</v>
      </c>
      <c r="G47" s="93">
        <f>IF(A47="","",IF(B47=0,0,$B$4*Catálogos!$Q$6))</f>
        <v>0</v>
      </c>
      <c r="H47" s="93">
        <f t="shared" si="4"/>
        <v>0</v>
      </c>
      <c r="I47" s="93">
        <f t="shared" si="5"/>
        <v>7908.1319591991123</v>
      </c>
      <c r="J47" s="96">
        <f t="shared" si="6"/>
        <v>7908.1319591991123</v>
      </c>
      <c r="K47" s="96"/>
      <c r="L47" s="96"/>
    </row>
    <row r="48" spans="1:12" x14ac:dyDescent="0.25">
      <c r="A48">
        <f t="shared" si="1"/>
        <v>42</v>
      </c>
      <c r="B48" s="96">
        <f t="shared" si="7"/>
        <v>745852.59884654882</v>
      </c>
      <c r="C48" s="96">
        <f t="shared" si="2"/>
        <v>1551.8810257291607</v>
      </c>
      <c r="D48" s="93">
        <f t="shared" si="3"/>
        <v>5907.8155629525299</v>
      </c>
      <c r="E48" s="93">
        <f t="shared" si="0"/>
        <v>7459.6965886816906</v>
      </c>
      <c r="F48" s="93">
        <f>IF(A48="","",B48*Catálogos!$R$1)</f>
        <v>447.51155930792925</v>
      </c>
      <c r="G48" s="93">
        <f>IF(A48="","",IF(B48=0,0,$B$4*Catálogos!$Q$6))</f>
        <v>0</v>
      </c>
      <c r="H48" s="93">
        <f t="shared" si="4"/>
        <v>0</v>
      </c>
      <c r="I48" s="93">
        <f t="shared" si="5"/>
        <v>7907.2081479896196</v>
      </c>
      <c r="J48" s="96">
        <f t="shared" si="6"/>
        <v>7907.2081479896196</v>
      </c>
      <c r="K48" s="96"/>
      <c r="L48" s="96"/>
    </row>
    <row r="49" spans="1:12" x14ac:dyDescent="0.25">
      <c r="A49">
        <f t="shared" si="1"/>
        <v>43</v>
      </c>
      <c r="B49" s="96">
        <f t="shared" si="7"/>
        <v>744300.7178208197</v>
      </c>
      <c r="C49" s="96">
        <f t="shared" si="2"/>
        <v>1564.1733029027355</v>
      </c>
      <c r="D49" s="93">
        <f t="shared" si="3"/>
        <v>5895.5232857789551</v>
      </c>
      <c r="E49" s="93">
        <f t="shared" si="0"/>
        <v>7459.6965886816906</v>
      </c>
      <c r="F49" s="93">
        <f>IF(A49="","",B49*Catálogos!$R$1)</f>
        <v>446.5804306924918</v>
      </c>
      <c r="G49" s="93">
        <f>IF(A49="","",IF(B49=0,0,$B$4*Catálogos!$Q$6))</f>
        <v>0</v>
      </c>
      <c r="H49" s="93">
        <f t="shared" si="4"/>
        <v>0</v>
      </c>
      <c r="I49" s="93">
        <f t="shared" si="5"/>
        <v>7906.2770193741826</v>
      </c>
      <c r="J49" s="96">
        <f t="shared" si="6"/>
        <v>7906.2770193741826</v>
      </c>
      <c r="K49" s="96"/>
      <c r="L49" s="96"/>
    </row>
    <row r="50" spans="1:12" x14ac:dyDescent="0.25">
      <c r="A50">
        <f t="shared" si="1"/>
        <v>44</v>
      </c>
      <c r="B50" s="96">
        <f t="shared" si="7"/>
        <v>742736.54451791698</v>
      </c>
      <c r="C50" s="96">
        <f t="shared" si="2"/>
        <v>1576.5629458379944</v>
      </c>
      <c r="D50" s="93">
        <f t="shared" si="3"/>
        <v>5883.1336428436962</v>
      </c>
      <c r="E50" s="93">
        <f t="shared" si="0"/>
        <v>7459.6965886816906</v>
      </c>
      <c r="F50" s="93">
        <f>IF(A50="","",B50*Catálogos!$R$1)</f>
        <v>445.64192671075017</v>
      </c>
      <c r="G50" s="93">
        <f>IF(A50="","",IF(B50=0,0,$B$4*Catálogos!$Q$6))</f>
        <v>0</v>
      </c>
      <c r="H50" s="93">
        <f t="shared" si="4"/>
        <v>0</v>
      </c>
      <c r="I50" s="93">
        <f t="shared" si="5"/>
        <v>7905.338515392441</v>
      </c>
      <c r="J50" s="96">
        <f t="shared" si="6"/>
        <v>7905.338515392441</v>
      </c>
      <c r="K50" s="96"/>
      <c r="L50" s="96"/>
    </row>
    <row r="51" spans="1:12" x14ac:dyDescent="0.25">
      <c r="A51">
        <f t="shared" si="1"/>
        <v>45</v>
      </c>
      <c r="B51" s="96">
        <f t="shared" si="7"/>
        <v>741159.98157207901</v>
      </c>
      <c r="C51" s="96">
        <f t="shared" si="2"/>
        <v>1589.0507257583167</v>
      </c>
      <c r="D51" s="93">
        <f t="shared" si="3"/>
        <v>5870.6458629233739</v>
      </c>
      <c r="E51" s="93">
        <f t="shared" si="0"/>
        <v>7459.6965886816906</v>
      </c>
      <c r="F51" s="93">
        <f>IF(A51="","",B51*Catálogos!$R$1)</f>
        <v>444.69598894324736</v>
      </c>
      <c r="G51" s="93">
        <f>IF(A51="","",IF(B51=0,0,$B$4*Catálogos!$Q$6))</f>
        <v>0</v>
      </c>
      <c r="H51" s="93">
        <f t="shared" si="4"/>
        <v>0</v>
      </c>
      <c r="I51" s="93">
        <f t="shared" si="5"/>
        <v>7904.392577624938</v>
      </c>
      <c r="J51" s="96">
        <f t="shared" si="6"/>
        <v>7904.392577624938</v>
      </c>
      <c r="K51" s="96"/>
      <c r="L51" s="96"/>
    </row>
    <row r="52" spans="1:12" x14ac:dyDescent="0.25">
      <c r="A52">
        <f t="shared" si="1"/>
        <v>46</v>
      </c>
      <c r="B52" s="96">
        <f t="shared" si="7"/>
        <v>739570.9308463207</v>
      </c>
      <c r="C52" s="96">
        <f t="shared" si="2"/>
        <v>1601.6374199958564</v>
      </c>
      <c r="D52" s="93">
        <f t="shared" si="3"/>
        <v>5858.0591686858343</v>
      </c>
      <c r="E52" s="93">
        <f t="shared" si="0"/>
        <v>7459.6965886816906</v>
      </c>
      <c r="F52" s="93">
        <f>IF(A52="","",B52*Catálogos!$R$1)</f>
        <v>443.74255850779235</v>
      </c>
      <c r="G52" s="93">
        <f>IF(A52="","",IF(B52=0,0,$B$4*Catálogos!$Q$6))</f>
        <v>0</v>
      </c>
      <c r="H52" s="93">
        <f t="shared" si="4"/>
        <v>0</v>
      </c>
      <c r="I52" s="93">
        <f t="shared" si="5"/>
        <v>7903.4391471894833</v>
      </c>
      <c r="J52" s="96">
        <f t="shared" si="6"/>
        <v>7903.4391471894833</v>
      </c>
      <c r="K52" s="96"/>
      <c r="L52" s="96"/>
    </row>
    <row r="53" spans="1:12" x14ac:dyDescent="0.25">
      <c r="A53">
        <f t="shared" si="1"/>
        <v>47</v>
      </c>
      <c r="B53" s="96">
        <f t="shared" si="7"/>
        <v>737969.29342632485</v>
      </c>
      <c r="C53" s="96">
        <f t="shared" si="2"/>
        <v>1614.3238120399301</v>
      </c>
      <c r="D53" s="93">
        <f t="shared" si="3"/>
        <v>5845.3727766417605</v>
      </c>
      <c r="E53" s="93">
        <f t="shared" si="0"/>
        <v>7459.6965886816906</v>
      </c>
      <c r="F53" s="93">
        <f>IF(A53="","",B53*Catálogos!$R$1)</f>
        <v>442.78157605579486</v>
      </c>
      <c r="G53" s="93">
        <f>IF(A53="","",IF(B53=0,0,$B$4*Catálogos!$Q$6))</f>
        <v>0</v>
      </c>
      <c r="H53" s="93">
        <f t="shared" si="4"/>
        <v>0</v>
      </c>
      <c r="I53" s="93">
        <f t="shared" si="5"/>
        <v>7902.4781647374857</v>
      </c>
      <c r="J53" s="96">
        <f t="shared" si="6"/>
        <v>7902.4781647374857</v>
      </c>
      <c r="K53" s="96"/>
      <c r="L53" s="96"/>
    </row>
    <row r="54" spans="1:12" x14ac:dyDescent="0.25">
      <c r="A54">
        <f t="shared" si="1"/>
        <v>48</v>
      </c>
      <c r="B54" s="96">
        <f t="shared" si="7"/>
        <v>736354.96961428493</v>
      </c>
      <c r="C54" s="96">
        <f t="shared" si="2"/>
        <v>1627.1106915857854</v>
      </c>
      <c r="D54" s="93">
        <f t="shared" si="3"/>
        <v>5832.5858970959052</v>
      </c>
      <c r="E54" s="93">
        <f t="shared" si="0"/>
        <v>7459.6965886816906</v>
      </c>
      <c r="F54" s="93">
        <f>IF(A54="","",B54*Catálogos!$R$1)</f>
        <v>441.81298176857092</v>
      </c>
      <c r="G54" s="93">
        <f>IF(A54="","",IF(B54=0,0,$B$4*Catálogos!$Q$6))</f>
        <v>0</v>
      </c>
      <c r="H54" s="93">
        <f t="shared" si="4"/>
        <v>0</v>
      </c>
      <c r="I54" s="93">
        <f t="shared" si="5"/>
        <v>7901.5095704502619</v>
      </c>
      <c r="J54" s="96">
        <f t="shared" si="6"/>
        <v>7901.5095704502619</v>
      </c>
      <c r="K54" s="96"/>
      <c r="L54" s="96"/>
    </row>
    <row r="55" spans="1:12" x14ac:dyDescent="0.25">
      <c r="A55">
        <f t="shared" si="1"/>
        <v>49</v>
      </c>
      <c r="B55" s="96">
        <f t="shared" si="7"/>
        <v>734727.85892269912</v>
      </c>
      <c r="C55" s="96">
        <f t="shared" si="2"/>
        <v>1639.9988545837605</v>
      </c>
      <c r="D55" s="93">
        <f t="shared" si="3"/>
        <v>5819.6977340979302</v>
      </c>
      <c r="E55" s="93">
        <f t="shared" si="0"/>
        <v>7459.6965886816906</v>
      </c>
      <c r="F55" s="93">
        <f>IF(A55="","",B55*Catálogos!$R$1)</f>
        <v>440.83671535361941</v>
      </c>
      <c r="G55" s="93">
        <f>IF(A55="","",IF(B55=0,0,$B$4*Catálogos!$Q$6))</f>
        <v>0</v>
      </c>
      <c r="H55" s="93">
        <f t="shared" si="4"/>
        <v>0</v>
      </c>
      <c r="I55" s="93">
        <f t="shared" si="5"/>
        <v>7900.5333040353098</v>
      </c>
      <c r="J55" s="96">
        <f t="shared" si="6"/>
        <v>7900.5333040353098</v>
      </c>
      <c r="K55" s="96"/>
      <c r="L55" s="96"/>
    </row>
    <row r="56" spans="1:12" x14ac:dyDescent="0.25">
      <c r="A56">
        <f t="shared" si="1"/>
        <v>50</v>
      </c>
      <c r="B56" s="96">
        <f t="shared" si="7"/>
        <v>733087.86006811541</v>
      </c>
      <c r="C56" s="96">
        <f t="shared" si="2"/>
        <v>1652.9891032888227</v>
      </c>
      <c r="D56" s="93">
        <f t="shared" si="3"/>
        <v>5806.707485392868</v>
      </c>
      <c r="E56" s="93">
        <f t="shared" si="0"/>
        <v>7459.6965886816906</v>
      </c>
      <c r="F56" s="93">
        <f>IF(A56="","",B56*Catálogos!$R$1)</f>
        <v>439.85271604086921</v>
      </c>
      <c r="G56" s="93">
        <f>IF(A56="","",IF(B56=0,0,$B$4*Catálogos!$Q$6))</f>
        <v>0</v>
      </c>
      <c r="H56" s="93">
        <f t="shared" si="4"/>
        <v>0</v>
      </c>
      <c r="I56" s="93">
        <f t="shared" si="5"/>
        <v>7899.54930472256</v>
      </c>
      <c r="J56" s="96">
        <f t="shared" si="6"/>
        <v>7899.54930472256</v>
      </c>
      <c r="K56" s="96"/>
      <c r="L56" s="96"/>
    </row>
    <row r="57" spans="1:12" x14ac:dyDescent="0.25">
      <c r="A57">
        <f t="shared" si="1"/>
        <v>51</v>
      </c>
      <c r="B57" s="96">
        <f t="shared" si="7"/>
        <v>731434.87096482655</v>
      </c>
      <c r="C57" s="96">
        <f t="shared" si="2"/>
        <v>1666.0822463105178</v>
      </c>
      <c r="D57" s="93">
        <f t="shared" si="3"/>
        <v>5793.6143423711728</v>
      </c>
      <c r="E57" s="93">
        <f t="shared" si="0"/>
        <v>7459.6965886816906</v>
      </c>
      <c r="F57" s="93">
        <f>IF(A57="","",B57*Catálogos!$R$1)</f>
        <v>438.8609225788959</v>
      </c>
      <c r="G57" s="93">
        <f>IF(A57="","",IF(B57=0,0,$B$4*Catálogos!$Q$6))</f>
        <v>0</v>
      </c>
      <c r="H57" s="93">
        <f t="shared" si="4"/>
        <v>0</v>
      </c>
      <c r="I57" s="93">
        <f t="shared" si="5"/>
        <v>7898.5575112605866</v>
      </c>
      <c r="J57" s="96">
        <f t="shared" si="6"/>
        <v>7898.5575112605866</v>
      </c>
      <c r="K57" s="96"/>
      <c r="L57" s="96"/>
    </row>
    <row r="58" spans="1:12" x14ac:dyDescent="0.25">
      <c r="A58">
        <f t="shared" si="1"/>
        <v>52</v>
      </c>
      <c r="B58" s="96">
        <f t="shared" si="7"/>
        <v>729768.78871851601</v>
      </c>
      <c r="C58" s="96">
        <f t="shared" si="2"/>
        <v>1679.2790986632945</v>
      </c>
      <c r="D58" s="93">
        <f t="shared" si="3"/>
        <v>5780.4174900183962</v>
      </c>
      <c r="E58" s="93">
        <f t="shared" si="0"/>
        <v>7459.6965886816906</v>
      </c>
      <c r="F58" s="93">
        <f>IF(A58="","",B58*Catálogos!$R$1)</f>
        <v>437.86127323110958</v>
      </c>
      <c r="G58" s="93">
        <f>IF(A58="","",IF(B58=0,0,$B$4*Catálogos!$Q$6))</f>
        <v>0</v>
      </c>
      <c r="H58" s="93">
        <f t="shared" si="4"/>
        <v>0</v>
      </c>
      <c r="I58" s="93">
        <f t="shared" si="5"/>
        <v>7897.5578619128</v>
      </c>
      <c r="J58" s="96">
        <f t="shared" si="6"/>
        <v>7897.5578619128</v>
      </c>
      <c r="K58" s="96"/>
      <c r="L58" s="96"/>
    </row>
    <row r="59" spans="1:12" x14ac:dyDescent="0.25">
      <c r="A59">
        <f t="shared" si="1"/>
        <v>53</v>
      </c>
      <c r="B59" s="96">
        <f t="shared" si="7"/>
        <v>728089.50961985276</v>
      </c>
      <c r="C59" s="96">
        <f t="shared" si="2"/>
        <v>1692.5804818172392</v>
      </c>
      <c r="D59" s="93">
        <f t="shared" si="3"/>
        <v>5767.1161068644515</v>
      </c>
      <c r="E59" s="93">
        <f t="shared" si="0"/>
        <v>7459.6965886816906</v>
      </c>
      <c r="F59" s="93">
        <f>IF(A59="","",B59*Catálogos!$R$1)</f>
        <v>436.85370577191162</v>
      </c>
      <c r="G59" s="93">
        <f>IF(A59="","",IF(B59=0,0,$B$4*Catálogos!$Q$6))</f>
        <v>0</v>
      </c>
      <c r="H59" s="93">
        <f t="shared" si="4"/>
        <v>0</v>
      </c>
      <c r="I59" s="93">
        <f t="shared" si="5"/>
        <v>7896.550294453602</v>
      </c>
      <c r="J59" s="96">
        <f t="shared" si="6"/>
        <v>7896.550294453602</v>
      </c>
      <c r="K59" s="96"/>
      <c r="L59" s="96"/>
    </row>
    <row r="60" spans="1:12" x14ac:dyDescent="0.25">
      <c r="A60">
        <f t="shared" si="1"/>
        <v>54</v>
      </c>
      <c r="B60" s="96">
        <f t="shared" si="7"/>
        <v>726396.92913803551</v>
      </c>
      <c r="C60" s="96">
        <f t="shared" si="2"/>
        <v>1705.9872237492154</v>
      </c>
      <c r="D60" s="93">
        <f t="shared" si="3"/>
        <v>5753.7093649324752</v>
      </c>
      <c r="E60" s="93">
        <f t="shared" si="0"/>
        <v>7459.6965886816906</v>
      </c>
      <c r="F60" s="93">
        <f>IF(A60="","",B60*Catálogos!$R$1)</f>
        <v>435.83815748282126</v>
      </c>
      <c r="G60" s="93">
        <f>IF(A60="","",IF(B60=0,0,$B$4*Catálogos!$Q$6))</f>
        <v>0</v>
      </c>
      <c r="H60" s="93">
        <f t="shared" si="4"/>
        <v>0</v>
      </c>
      <c r="I60" s="93">
        <f t="shared" si="5"/>
        <v>7895.5347461645115</v>
      </c>
      <c r="J60" s="96">
        <f t="shared" si="6"/>
        <v>7895.5347461645115</v>
      </c>
      <c r="K60" s="96"/>
      <c r="L60" s="96"/>
    </row>
    <row r="61" spans="1:12" x14ac:dyDescent="0.25">
      <c r="A61">
        <f t="shared" si="1"/>
        <v>55</v>
      </c>
      <c r="B61" s="96">
        <f t="shared" si="7"/>
        <v>724690.94191428635</v>
      </c>
      <c r="C61" s="96">
        <f t="shared" si="2"/>
        <v>1719.5001589943968</v>
      </c>
      <c r="D61" s="93">
        <f t="shared" si="3"/>
        <v>5740.1964296872939</v>
      </c>
      <c r="E61" s="93">
        <f t="shared" si="0"/>
        <v>7459.6965886816906</v>
      </c>
      <c r="F61" s="93">
        <f>IF(A61="","",B61*Catálogos!$R$1)</f>
        <v>434.81456514857177</v>
      </c>
      <c r="G61" s="93">
        <f>IF(A61="","",IF(B61=0,0,$B$4*Catálogos!$Q$6))</f>
        <v>0</v>
      </c>
      <c r="H61" s="93">
        <f t="shared" si="4"/>
        <v>0</v>
      </c>
      <c r="I61" s="93">
        <f t="shared" si="5"/>
        <v>7894.5111538302626</v>
      </c>
      <c r="J61" s="96">
        <f t="shared" si="6"/>
        <v>7894.5111538302626</v>
      </c>
      <c r="K61" s="96"/>
      <c r="L61" s="96"/>
    </row>
    <row r="62" spans="1:12" x14ac:dyDescent="0.25">
      <c r="A62">
        <f t="shared" si="1"/>
        <v>56</v>
      </c>
      <c r="B62" s="96">
        <f t="shared" si="7"/>
        <v>722971.44175529201</v>
      </c>
      <c r="C62" s="96">
        <f t="shared" si="2"/>
        <v>1733.1201286982177</v>
      </c>
      <c r="D62" s="93">
        <f t="shared" si="3"/>
        <v>5726.5764599834729</v>
      </c>
      <c r="E62" s="93">
        <f t="shared" si="0"/>
        <v>7459.6965886816906</v>
      </c>
      <c r="F62" s="93">
        <f>IF(A62="","",B62*Catálogos!$R$1)</f>
        <v>433.78286505317516</v>
      </c>
      <c r="G62" s="93">
        <f>IF(A62="","",IF(B62=0,0,$B$4*Catálogos!$Q$6))</f>
        <v>0</v>
      </c>
      <c r="H62" s="93">
        <f t="shared" si="4"/>
        <v>0</v>
      </c>
      <c r="I62" s="93">
        <f t="shared" si="5"/>
        <v>7893.4794537348662</v>
      </c>
      <c r="J62" s="96">
        <f t="shared" si="6"/>
        <v>7893.4794537348662</v>
      </c>
      <c r="K62" s="96"/>
      <c r="L62" s="96"/>
    </row>
    <row r="63" spans="1:12" x14ac:dyDescent="0.25">
      <c r="A63">
        <f t="shared" si="1"/>
        <v>57</v>
      </c>
      <c r="B63" s="96">
        <f t="shared" si="7"/>
        <v>721238.32162659382</v>
      </c>
      <c r="C63" s="96">
        <f t="shared" si="2"/>
        <v>1746.8479806687328</v>
      </c>
      <c r="D63" s="93">
        <f t="shared" si="3"/>
        <v>5712.8486080129578</v>
      </c>
      <c r="E63" s="93">
        <f t="shared" si="0"/>
        <v>7459.6965886816906</v>
      </c>
      <c r="F63" s="93">
        <f>IF(A63="","",B63*Catálogos!$R$1)</f>
        <v>432.74299297595627</v>
      </c>
      <c r="G63" s="93">
        <f>IF(A63="","",IF(B63=0,0,$B$4*Catálogos!$Q$6))</f>
        <v>0</v>
      </c>
      <c r="H63" s="93">
        <f t="shared" si="4"/>
        <v>0</v>
      </c>
      <c r="I63" s="93">
        <f t="shared" si="5"/>
        <v>7892.4395816576471</v>
      </c>
      <c r="J63" s="96">
        <f t="shared" si="6"/>
        <v>7892.4395816576471</v>
      </c>
      <c r="K63" s="96"/>
      <c r="L63" s="96"/>
    </row>
    <row r="64" spans="1:12" x14ac:dyDescent="0.25">
      <c r="A64">
        <f t="shared" si="1"/>
        <v>58</v>
      </c>
      <c r="B64" s="96">
        <f t="shared" si="7"/>
        <v>719491.47364592506</v>
      </c>
      <c r="C64" s="96">
        <f t="shared" si="2"/>
        <v>1760.6845694293897</v>
      </c>
      <c r="D64" s="93">
        <f t="shared" si="3"/>
        <v>5699.0120192523009</v>
      </c>
      <c r="E64" s="93">
        <f t="shared" si="0"/>
        <v>7459.6965886816906</v>
      </c>
      <c r="F64" s="93">
        <f>IF(A64="","",B64*Catálogos!$R$1)</f>
        <v>431.69488418755498</v>
      </c>
      <c r="G64" s="93">
        <f>IF(A64="","",IF(B64=0,0,$B$4*Catálogos!$Q$6))</f>
        <v>0</v>
      </c>
      <c r="H64" s="93">
        <f t="shared" si="4"/>
        <v>0</v>
      </c>
      <c r="I64" s="93">
        <f t="shared" si="5"/>
        <v>7891.3914728692453</v>
      </c>
      <c r="J64" s="96">
        <f t="shared" si="6"/>
        <v>7891.3914728692453</v>
      </c>
      <c r="K64" s="96"/>
      <c r="L64" s="96"/>
    </row>
    <row r="65" spans="1:12" x14ac:dyDescent="0.25">
      <c r="A65">
        <f t="shared" si="1"/>
        <v>59</v>
      </c>
      <c r="B65" s="96">
        <f t="shared" si="7"/>
        <v>717730.78907649568</v>
      </c>
      <c r="C65" s="96">
        <f t="shared" si="2"/>
        <v>1774.6307562722213</v>
      </c>
      <c r="D65" s="93">
        <f t="shared" si="3"/>
        <v>5685.0658324094693</v>
      </c>
      <c r="E65" s="93">
        <f t="shared" si="0"/>
        <v>7459.6965886816906</v>
      </c>
      <c r="F65" s="93">
        <f>IF(A65="","",B65*Catálogos!$R$1)</f>
        <v>430.63847344589738</v>
      </c>
      <c r="G65" s="93">
        <f>IF(A65="","",IF(B65=0,0,$B$4*Catálogos!$Q$6))</f>
        <v>0</v>
      </c>
      <c r="H65" s="93">
        <f t="shared" si="4"/>
        <v>0</v>
      </c>
      <c r="I65" s="93">
        <f t="shared" si="5"/>
        <v>7890.3350621275877</v>
      </c>
      <c r="J65" s="96">
        <f t="shared" si="6"/>
        <v>7890.3350621275877</v>
      </c>
      <c r="K65" s="96"/>
      <c r="L65" s="96"/>
    </row>
    <row r="66" spans="1:12" x14ac:dyDescent="0.25">
      <c r="A66">
        <f t="shared" si="1"/>
        <v>60</v>
      </c>
      <c r="B66" s="96">
        <f t="shared" si="7"/>
        <v>715956.15832022345</v>
      </c>
      <c r="C66" s="96">
        <f t="shared" si="2"/>
        <v>1788.6874093114584</v>
      </c>
      <c r="D66" s="93">
        <f t="shared" si="3"/>
        <v>5671.0091793702322</v>
      </c>
      <c r="E66" s="93">
        <f t="shared" si="0"/>
        <v>7459.6965886816906</v>
      </c>
      <c r="F66" s="93">
        <f>IF(A66="","",B66*Catálogos!$R$1)</f>
        <v>429.57369499213405</v>
      </c>
      <c r="G66" s="93">
        <f>IF(A66="","",IF(B66=0,0,$B$4*Catálogos!$Q$6))</f>
        <v>0</v>
      </c>
      <c r="H66" s="93">
        <f t="shared" si="4"/>
        <v>0</v>
      </c>
      <c r="I66" s="93">
        <f t="shared" si="5"/>
        <v>7889.2702836738245</v>
      </c>
      <c r="J66" s="96">
        <f t="shared" si="6"/>
        <v>7889.2702836738245</v>
      </c>
      <c r="K66" s="96"/>
      <c r="L66" s="96"/>
    </row>
    <row r="67" spans="1:12" x14ac:dyDescent="0.25">
      <c r="A67">
        <f t="shared" si="1"/>
        <v>61</v>
      </c>
      <c r="B67" s="96">
        <f t="shared" si="7"/>
        <v>714167.47091091203</v>
      </c>
      <c r="C67" s="96">
        <f t="shared" si="2"/>
        <v>1802.8554035375691</v>
      </c>
      <c r="D67" s="93">
        <f t="shared" si="3"/>
        <v>5656.8411851441215</v>
      </c>
      <c r="E67" s="93">
        <f t="shared" si="0"/>
        <v>7459.6965886816906</v>
      </c>
      <c r="F67" s="93">
        <f>IF(A67="","",B67*Catálogos!$R$1)</f>
        <v>428.50048254654718</v>
      </c>
      <c r="G67" s="93">
        <f>IF(A67="","",IF(B67=0,0,$B$4*Catálogos!$Q$6))</f>
        <v>0</v>
      </c>
      <c r="H67" s="93">
        <f t="shared" si="4"/>
        <v>0</v>
      </c>
      <c r="I67" s="93">
        <f t="shared" si="5"/>
        <v>7888.1970712282382</v>
      </c>
      <c r="J67" s="96">
        <f t="shared" si="6"/>
        <v>7888.1970712282382</v>
      </c>
      <c r="K67" s="96"/>
      <c r="L67" s="96"/>
    </row>
    <row r="68" spans="1:12" x14ac:dyDescent="0.25">
      <c r="A68">
        <f t="shared" si="1"/>
        <v>62</v>
      </c>
      <c r="B68" s="96">
        <f t="shared" si="7"/>
        <v>712364.61550737452</v>
      </c>
      <c r="C68" s="96">
        <f t="shared" si="2"/>
        <v>1817.1356208717225</v>
      </c>
      <c r="D68" s="93">
        <f t="shared" si="3"/>
        <v>5642.5609678099681</v>
      </c>
      <c r="E68" s="93">
        <f t="shared" si="0"/>
        <v>7459.6965886816906</v>
      </c>
      <c r="F68" s="93">
        <f>IF(A68="","",B68*Catálogos!$R$1)</f>
        <v>427.4187693044247</v>
      </c>
      <c r="G68" s="93">
        <f>IF(A68="","",IF(B68=0,0,$B$4*Catálogos!$Q$6))</f>
        <v>0</v>
      </c>
      <c r="H68" s="93">
        <f t="shared" si="4"/>
        <v>0</v>
      </c>
      <c r="I68" s="93">
        <f t="shared" si="5"/>
        <v>7887.1153579861157</v>
      </c>
      <c r="J68" s="96">
        <f t="shared" si="6"/>
        <v>7887.1153579861157</v>
      </c>
      <c r="K68" s="96"/>
      <c r="L68" s="96"/>
    </row>
    <row r="69" spans="1:12" x14ac:dyDescent="0.25">
      <c r="A69">
        <f t="shared" si="1"/>
        <v>63</v>
      </c>
      <c r="B69" s="96">
        <f t="shared" si="7"/>
        <v>710547.47988650284</v>
      </c>
      <c r="C69" s="96">
        <f t="shared" si="2"/>
        <v>1831.5289502206888</v>
      </c>
      <c r="D69" s="93">
        <f t="shared" si="3"/>
        <v>5628.1676384610018</v>
      </c>
      <c r="E69" s="93">
        <f t="shared" si="0"/>
        <v>7459.6965886816906</v>
      </c>
      <c r="F69" s="93">
        <f>IF(A69="","",B69*Catálogos!$R$1)</f>
        <v>426.32848793190169</v>
      </c>
      <c r="G69" s="93">
        <f>IF(A69="","",IF(B69=0,0,$B$4*Catálogos!$Q$6))</f>
        <v>0</v>
      </c>
      <c r="H69" s="93">
        <f t="shared" si="4"/>
        <v>0</v>
      </c>
      <c r="I69" s="93">
        <f t="shared" si="5"/>
        <v>7886.0250766135923</v>
      </c>
      <c r="J69" s="96">
        <f t="shared" si="6"/>
        <v>7886.0250766135923</v>
      </c>
      <c r="K69" s="96"/>
      <c r="L69" s="96"/>
    </row>
    <row r="70" spans="1:12" x14ac:dyDescent="0.25">
      <c r="A70">
        <f t="shared" si="1"/>
        <v>64</v>
      </c>
      <c r="B70" s="96">
        <f t="shared" si="7"/>
        <v>708715.95093628217</v>
      </c>
      <c r="C70" s="96">
        <f t="shared" si="2"/>
        <v>1846.0362875321707</v>
      </c>
      <c r="D70" s="93">
        <f t="shared" si="3"/>
        <v>5613.6603011495199</v>
      </c>
      <c r="E70" s="93">
        <f t="shared" si="0"/>
        <v>7459.6965886816906</v>
      </c>
      <c r="F70" s="93">
        <f>IF(A70="","",B70*Catálogos!$R$1)</f>
        <v>425.22957056176926</v>
      </c>
      <c r="G70" s="93">
        <f>IF(A70="","",IF(B70=0,0,$B$4*Catálogos!$Q$6))</f>
        <v>0</v>
      </c>
      <c r="H70" s="93">
        <f t="shared" si="4"/>
        <v>0</v>
      </c>
      <c r="I70" s="93">
        <f t="shared" si="5"/>
        <v>7884.9261592434596</v>
      </c>
      <c r="J70" s="96">
        <f t="shared" si="6"/>
        <v>7884.9261592434596</v>
      </c>
      <c r="K70" s="96"/>
      <c r="L70" s="96"/>
    </row>
    <row r="71" spans="1:12" x14ac:dyDescent="0.25">
      <c r="A71">
        <f t="shared" si="1"/>
        <v>65</v>
      </c>
      <c r="B71" s="96">
        <f t="shared" si="7"/>
        <v>706869.91464874998</v>
      </c>
      <c r="C71" s="96">
        <f t="shared" si="2"/>
        <v>1860.6585358505699</v>
      </c>
      <c r="D71" s="93">
        <f t="shared" si="3"/>
        <v>5599.0380528311207</v>
      </c>
      <c r="E71" s="93">
        <f t="shared" ref="E71:E134" si="8">IF(A71="","",PMT($B$2/360*30.4,$B$1,-$B$3))</f>
        <v>7459.6965886816906</v>
      </c>
      <c r="F71" s="93">
        <f>IF(A71="","",B71*Catálogos!$R$1)</f>
        <v>424.12194878924993</v>
      </c>
      <c r="G71" s="93">
        <f>IF(A71="","",IF(B71=0,0,$B$4*Catálogos!$Q$6))</f>
        <v>0</v>
      </c>
      <c r="H71" s="93">
        <f t="shared" si="4"/>
        <v>0</v>
      </c>
      <c r="I71" s="93">
        <f t="shared" si="5"/>
        <v>7883.818537470941</v>
      </c>
      <c r="J71" s="96">
        <f t="shared" si="6"/>
        <v>7883.818537470941</v>
      </c>
      <c r="K71" s="96"/>
      <c r="L71" s="96"/>
    </row>
    <row r="72" spans="1:12" x14ac:dyDescent="0.25">
      <c r="A72">
        <f t="shared" ref="A72:A135" si="9">IF(A71=$B$1,"",IF(A71="","",A71+1))</f>
        <v>66</v>
      </c>
      <c r="B72" s="96">
        <f t="shared" si="7"/>
        <v>705009.2561128994</v>
      </c>
      <c r="C72" s="96">
        <f t="shared" ref="C72:C135" si="10">IF(A72="","",E72-D72)</f>
        <v>1875.3966053732047</v>
      </c>
      <c r="D72" s="93">
        <f t="shared" ref="D72:D135" si="11">IF(A72="","",($B$2/360*30.4)*B72)</f>
        <v>5584.2999833084859</v>
      </c>
      <c r="E72" s="93">
        <f t="shared" si="8"/>
        <v>7459.6965886816906</v>
      </c>
      <c r="F72" s="93">
        <f>IF(A72="","",B72*Catálogos!$R$1)</f>
        <v>423.0055536677396</v>
      </c>
      <c r="G72" s="93">
        <f>IF(A72="","",IF(B72=0,0,$B$4*Catálogos!$Q$6))</f>
        <v>0</v>
      </c>
      <c r="H72" s="93">
        <f t="shared" ref="H72:H135" si="12">IF(A72="","",IF($G$2=1,299,0))</f>
        <v>0</v>
      </c>
      <c r="I72" s="93">
        <f t="shared" ref="I72:I135" si="13">IF(A72="","",SUM(E72:H72))</f>
        <v>7882.7021423494298</v>
      </c>
      <c r="J72" s="96">
        <f t="shared" ref="J72:J135" si="14">I72</f>
        <v>7882.7021423494298</v>
      </c>
      <c r="K72" s="96"/>
      <c r="L72" s="96"/>
    </row>
    <row r="73" spans="1:12" x14ac:dyDescent="0.25">
      <c r="A73">
        <f t="shared" si="9"/>
        <v>67</v>
      </c>
      <c r="B73" s="96">
        <f t="shared" ref="B73:B136" si="15">IF(A73="","",B72-C72)</f>
        <v>703133.85950752615</v>
      </c>
      <c r="C73" s="96">
        <f t="shared" si="10"/>
        <v>1890.2514135069659</v>
      </c>
      <c r="D73" s="93">
        <f t="shared" si="11"/>
        <v>5569.4451751747247</v>
      </c>
      <c r="E73" s="93">
        <f t="shared" si="8"/>
        <v>7459.6965886816906</v>
      </c>
      <c r="F73" s="93">
        <f>IF(A73="","",B73*Catálogos!$R$1)</f>
        <v>421.88031570451568</v>
      </c>
      <c r="G73" s="93">
        <f>IF(A73="","",IF(B73=0,0,$B$4*Catálogos!$Q$6))</f>
        <v>0</v>
      </c>
      <c r="H73" s="93">
        <f t="shared" si="12"/>
        <v>0</v>
      </c>
      <c r="I73" s="93">
        <f t="shared" si="13"/>
        <v>7881.5769043862065</v>
      </c>
      <c r="J73" s="96">
        <f t="shared" si="14"/>
        <v>7881.5769043862065</v>
      </c>
      <c r="K73" s="96"/>
      <c r="L73" s="96"/>
    </row>
    <row r="74" spans="1:12" x14ac:dyDescent="0.25">
      <c r="A74">
        <f t="shared" si="9"/>
        <v>68</v>
      </c>
      <c r="B74" s="96">
        <f t="shared" si="15"/>
        <v>701243.60809401923</v>
      </c>
      <c r="C74" s="96">
        <f t="shared" si="10"/>
        <v>1905.223884925419</v>
      </c>
      <c r="D74" s="93">
        <f t="shared" si="11"/>
        <v>5554.4727037562716</v>
      </c>
      <c r="E74" s="93">
        <f t="shared" si="8"/>
        <v>7459.6965886816906</v>
      </c>
      <c r="F74" s="93">
        <f>IF(A74="","",B74*Catálogos!$R$1)</f>
        <v>420.7461648564115</v>
      </c>
      <c r="G74" s="93">
        <f>IF(A74="","",IF(B74=0,0,$B$4*Catálogos!$Q$6))</f>
        <v>0</v>
      </c>
      <c r="H74" s="93">
        <f t="shared" si="12"/>
        <v>0</v>
      </c>
      <c r="I74" s="93">
        <f t="shared" si="13"/>
        <v>7880.4427535381019</v>
      </c>
      <c r="J74" s="96">
        <f t="shared" si="14"/>
        <v>7880.4427535381019</v>
      </c>
      <c r="K74" s="96"/>
      <c r="L74" s="96"/>
    </row>
    <row r="75" spans="1:12" x14ac:dyDescent="0.25">
      <c r="A75">
        <f t="shared" si="9"/>
        <v>69</v>
      </c>
      <c r="B75" s="96">
        <f t="shared" si="15"/>
        <v>699338.38420909387</v>
      </c>
      <c r="C75" s="96">
        <f t="shared" si="10"/>
        <v>1920.3149516263702</v>
      </c>
      <c r="D75" s="93">
        <f t="shared" si="11"/>
        <v>5539.3816370553204</v>
      </c>
      <c r="E75" s="93">
        <f t="shared" si="8"/>
        <v>7459.6965886816906</v>
      </c>
      <c r="F75" s="93">
        <f>IF(A75="","",B75*Catálogos!$R$1)</f>
        <v>419.60303052545629</v>
      </c>
      <c r="G75" s="93">
        <f>IF(A75="","",IF(B75=0,0,$B$4*Catálogos!$Q$6))</f>
        <v>0</v>
      </c>
      <c r="H75" s="93">
        <f t="shared" si="12"/>
        <v>0</v>
      </c>
      <c r="I75" s="93">
        <f t="shared" si="13"/>
        <v>7879.2996192071469</v>
      </c>
      <c r="J75" s="96">
        <f t="shared" si="14"/>
        <v>7879.2996192071469</v>
      </c>
      <c r="K75" s="96"/>
      <c r="L75" s="96"/>
    </row>
    <row r="76" spans="1:12" x14ac:dyDescent="0.25">
      <c r="A76">
        <f t="shared" si="9"/>
        <v>70</v>
      </c>
      <c r="B76" s="96">
        <f t="shared" si="15"/>
        <v>697418.06925746752</v>
      </c>
      <c r="C76" s="96">
        <f t="shared" si="10"/>
        <v>1935.525552989875</v>
      </c>
      <c r="D76" s="93">
        <f t="shared" si="11"/>
        <v>5524.1710356918156</v>
      </c>
      <c r="E76" s="93">
        <f t="shared" si="8"/>
        <v>7459.6965886816906</v>
      </c>
      <c r="F76" s="93">
        <f>IF(A76="","",B76*Catálogos!$R$1)</f>
        <v>418.45084155448046</v>
      </c>
      <c r="G76" s="93">
        <f>IF(A76="","",IF(B76=0,0,$B$4*Catálogos!$Q$6))</f>
        <v>0</v>
      </c>
      <c r="H76" s="93">
        <f t="shared" si="12"/>
        <v>0</v>
      </c>
      <c r="I76" s="93">
        <f t="shared" si="13"/>
        <v>7878.1474302361712</v>
      </c>
      <c r="J76" s="96">
        <f t="shared" si="14"/>
        <v>7878.1474302361712</v>
      </c>
      <c r="K76" s="96"/>
      <c r="L76" s="96"/>
    </row>
    <row r="77" spans="1:12" x14ac:dyDescent="0.25">
      <c r="A77">
        <f t="shared" si="9"/>
        <v>71</v>
      </c>
      <c r="B77" s="96">
        <f t="shared" si="15"/>
        <v>695482.5437044776</v>
      </c>
      <c r="C77" s="96">
        <f t="shared" si="10"/>
        <v>1950.8566358367134</v>
      </c>
      <c r="D77" s="93">
        <f t="shared" si="11"/>
        <v>5508.8399528449772</v>
      </c>
      <c r="E77" s="93">
        <f t="shared" si="8"/>
        <v>7459.6965886816906</v>
      </c>
      <c r="F77" s="93">
        <f>IF(A77="","",B77*Catálogos!$R$1)</f>
        <v>417.2895262226865</v>
      </c>
      <c r="G77" s="93">
        <f>IF(A77="","",IF(B77=0,0,$B$4*Catálogos!$Q$6))</f>
        <v>0</v>
      </c>
      <c r="H77" s="93">
        <f t="shared" si="12"/>
        <v>0</v>
      </c>
      <c r="I77" s="93">
        <f t="shared" si="13"/>
        <v>7876.9861149043772</v>
      </c>
      <c r="J77" s="96">
        <f t="shared" si="14"/>
        <v>7876.9861149043772</v>
      </c>
      <c r="K77" s="96"/>
      <c r="L77" s="96"/>
    </row>
    <row r="78" spans="1:12" x14ac:dyDescent="0.25">
      <c r="A78">
        <f t="shared" si="9"/>
        <v>72</v>
      </c>
      <c r="B78" s="96">
        <f t="shared" si="15"/>
        <v>693531.68706864084</v>
      </c>
      <c r="C78" s="96">
        <f t="shared" si="10"/>
        <v>1966.3091544873278</v>
      </c>
      <c r="D78" s="93">
        <f t="shared" si="11"/>
        <v>5493.3874341943629</v>
      </c>
      <c r="E78" s="93">
        <f t="shared" si="8"/>
        <v>7459.6965886816906</v>
      </c>
      <c r="F78" s="93">
        <f>IF(A78="","",B78*Catálogos!$R$1)</f>
        <v>416.11901224118446</v>
      </c>
      <c r="G78" s="93">
        <f>IF(A78="","",IF(B78=0,0,$B$4*Catálogos!$Q$6))</f>
        <v>0</v>
      </c>
      <c r="H78" s="93">
        <f t="shared" si="12"/>
        <v>0</v>
      </c>
      <c r="I78" s="93">
        <f t="shared" si="13"/>
        <v>7875.8156009228751</v>
      </c>
      <c r="J78" s="96">
        <f t="shared" si="14"/>
        <v>7875.8156009228751</v>
      </c>
      <c r="K78" s="96"/>
      <c r="L78" s="96"/>
    </row>
    <row r="79" spans="1:12" x14ac:dyDescent="0.25">
      <c r="A79">
        <f t="shared" si="9"/>
        <v>73</v>
      </c>
      <c r="B79" s="96">
        <f t="shared" si="15"/>
        <v>691565.37791415351</v>
      </c>
      <c r="C79" s="96">
        <f t="shared" si="10"/>
        <v>1981.8840708212265</v>
      </c>
      <c r="D79" s="93">
        <f t="shared" si="11"/>
        <v>5477.8125178604641</v>
      </c>
      <c r="E79" s="93">
        <f t="shared" si="8"/>
        <v>7459.6965886816906</v>
      </c>
      <c r="F79" s="93">
        <f>IF(A79="","",B79*Catálogos!$R$1)</f>
        <v>414.93922674849205</v>
      </c>
      <c r="G79" s="93">
        <f>IF(A79="","",IF(B79=0,0,$B$4*Catálogos!$Q$6))</f>
        <v>0</v>
      </c>
      <c r="H79" s="93">
        <f t="shared" si="12"/>
        <v>0</v>
      </c>
      <c r="I79" s="93">
        <f t="shared" si="13"/>
        <v>7874.6358154301824</v>
      </c>
      <c r="J79" s="96">
        <f t="shared" si="14"/>
        <v>7874.6358154301824</v>
      </c>
      <c r="K79" s="96"/>
      <c r="L79" s="96"/>
    </row>
    <row r="80" spans="1:12" x14ac:dyDescent="0.25">
      <c r="A80">
        <f t="shared" si="9"/>
        <v>74</v>
      </c>
      <c r="B80" s="96">
        <f t="shared" si="15"/>
        <v>689583.49384333228</v>
      </c>
      <c r="C80" s="96">
        <f t="shared" si="10"/>
        <v>1997.5823543368606</v>
      </c>
      <c r="D80" s="93">
        <f t="shared" si="11"/>
        <v>5462.11423434483</v>
      </c>
      <c r="E80" s="93">
        <f t="shared" si="8"/>
        <v>7459.6965886816906</v>
      </c>
      <c r="F80" s="93">
        <f>IF(A80="","",B80*Catálogos!$R$1)</f>
        <v>413.75009630599931</v>
      </c>
      <c r="G80" s="93">
        <f>IF(A80="","",IF(B80=0,0,$B$4*Catálogos!$Q$6))</f>
        <v>0</v>
      </c>
      <c r="H80" s="93">
        <f t="shared" si="12"/>
        <v>0</v>
      </c>
      <c r="I80" s="93">
        <f t="shared" si="13"/>
        <v>7873.4466849876899</v>
      </c>
      <c r="J80" s="96">
        <f t="shared" si="14"/>
        <v>7873.4466849876899</v>
      </c>
      <c r="K80" s="96"/>
      <c r="L80" s="96"/>
    </row>
    <row r="81" spans="1:12" x14ac:dyDescent="0.25">
      <c r="A81">
        <f t="shared" si="9"/>
        <v>75</v>
      </c>
      <c r="B81" s="96">
        <f t="shared" si="15"/>
        <v>687585.91148899542</v>
      </c>
      <c r="C81" s="96">
        <f t="shared" si="10"/>
        <v>2013.4049822119678</v>
      </c>
      <c r="D81" s="93">
        <f t="shared" si="11"/>
        <v>5446.2916064697229</v>
      </c>
      <c r="E81" s="93">
        <f t="shared" si="8"/>
        <v>7459.6965886816906</v>
      </c>
      <c r="F81" s="93">
        <f>IF(A81="","",B81*Catálogos!$R$1)</f>
        <v>412.55154689339724</v>
      </c>
      <c r="G81" s="93">
        <f>IF(A81="","",IF(B81=0,0,$B$4*Catálogos!$Q$6))</f>
        <v>0</v>
      </c>
      <c r="H81" s="93">
        <f t="shared" si="12"/>
        <v>0</v>
      </c>
      <c r="I81" s="93">
        <f t="shared" si="13"/>
        <v>7872.2481355750879</v>
      </c>
      <c r="J81" s="96">
        <f t="shared" si="14"/>
        <v>7872.2481355750879</v>
      </c>
      <c r="K81" s="96"/>
      <c r="L81" s="96"/>
    </row>
    <row r="82" spans="1:12" x14ac:dyDescent="0.25">
      <c r="A82">
        <f t="shared" si="9"/>
        <v>76</v>
      </c>
      <c r="B82" s="96">
        <f t="shared" si="15"/>
        <v>685572.50650678342</v>
      </c>
      <c r="C82" s="96">
        <f t="shared" si="10"/>
        <v>2029.3529393644048</v>
      </c>
      <c r="D82" s="93">
        <f t="shared" si="11"/>
        <v>5430.3436493172858</v>
      </c>
      <c r="E82" s="93">
        <f t="shared" si="8"/>
        <v>7459.6965886816906</v>
      </c>
      <c r="F82" s="93">
        <f>IF(A82="","",B82*Catálogos!$R$1)</f>
        <v>411.34350390407002</v>
      </c>
      <c r="G82" s="93">
        <f>IF(A82="","",IF(B82=0,0,$B$4*Catálogos!$Q$6))</f>
        <v>0</v>
      </c>
      <c r="H82" s="93">
        <f t="shared" si="12"/>
        <v>0</v>
      </c>
      <c r="I82" s="93">
        <f t="shared" si="13"/>
        <v>7871.0400925857602</v>
      </c>
      <c r="J82" s="96">
        <f t="shared" si="14"/>
        <v>7871.0400925857602</v>
      </c>
      <c r="K82" s="96"/>
      <c r="L82" s="96"/>
    </row>
    <row r="83" spans="1:12" x14ac:dyDescent="0.25">
      <c r="A83">
        <f t="shared" si="9"/>
        <v>77</v>
      </c>
      <c r="B83" s="96">
        <f t="shared" si="15"/>
        <v>683543.15356741904</v>
      </c>
      <c r="C83" s="96">
        <f t="shared" si="10"/>
        <v>2045.4272185134496</v>
      </c>
      <c r="D83" s="93">
        <f t="shared" si="11"/>
        <v>5414.269370168241</v>
      </c>
      <c r="E83" s="93">
        <f t="shared" si="8"/>
        <v>7459.6965886816906</v>
      </c>
      <c r="F83" s="93">
        <f>IF(A83="","",B83*Catálogos!$R$1)</f>
        <v>410.12589214045141</v>
      </c>
      <c r="G83" s="93">
        <f>IF(A83="","",IF(B83=0,0,$B$4*Catálogos!$Q$6))</f>
        <v>0</v>
      </c>
      <c r="H83" s="93">
        <f t="shared" si="12"/>
        <v>0</v>
      </c>
      <c r="I83" s="93">
        <f t="shared" si="13"/>
        <v>7869.8224808221421</v>
      </c>
      <c r="J83" s="96">
        <f t="shared" si="14"/>
        <v>7869.8224808221421</v>
      </c>
      <c r="K83" s="96"/>
      <c r="L83" s="96"/>
    </row>
    <row r="84" spans="1:12" x14ac:dyDescent="0.25">
      <c r="A84">
        <f t="shared" si="9"/>
        <v>78</v>
      </c>
      <c r="B84" s="96">
        <f t="shared" si="15"/>
        <v>681497.72634890559</v>
      </c>
      <c r="C84" s="96">
        <f t="shared" si="10"/>
        <v>2061.6288202416035</v>
      </c>
      <c r="D84" s="93">
        <f t="shared" si="11"/>
        <v>5398.0677684400871</v>
      </c>
      <c r="E84" s="93">
        <f t="shared" si="8"/>
        <v>7459.6965886816906</v>
      </c>
      <c r="F84" s="93">
        <f>IF(A84="","",B84*Catálogos!$R$1)</f>
        <v>408.89863580934332</v>
      </c>
      <c r="G84" s="93">
        <f>IF(A84="","",IF(B84=0,0,$B$4*Catálogos!$Q$6))</f>
        <v>0</v>
      </c>
      <c r="H84" s="93">
        <f t="shared" si="12"/>
        <v>0</v>
      </c>
      <c r="I84" s="93">
        <f t="shared" si="13"/>
        <v>7868.5952244910341</v>
      </c>
      <c r="J84" s="96">
        <f t="shared" si="14"/>
        <v>7868.5952244910341</v>
      </c>
      <c r="K84" s="96"/>
      <c r="L84" s="96"/>
    </row>
    <row r="85" spans="1:12" x14ac:dyDescent="0.25">
      <c r="A85">
        <f t="shared" si="9"/>
        <v>79</v>
      </c>
      <c r="B85" s="96">
        <f t="shared" si="15"/>
        <v>679436.09752866393</v>
      </c>
      <c r="C85" s="96">
        <f t="shared" si="10"/>
        <v>2077.9587530568688</v>
      </c>
      <c r="D85" s="93">
        <f t="shared" si="11"/>
        <v>5381.7378356248219</v>
      </c>
      <c r="E85" s="93">
        <f t="shared" si="8"/>
        <v>7459.6965886816906</v>
      </c>
      <c r="F85" s="93">
        <f>IF(A85="","",B85*Catálogos!$R$1)</f>
        <v>407.6616585171983</v>
      </c>
      <c r="G85" s="93">
        <f>IF(A85="","",IF(B85=0,0,$B$4*Catálogos!$Q$6))</f>
        <v>0</v>
      </c>
      <c r="H85" s="93">
        <f t="shared" si="12"/>
        <v>0</v>
      </c>
      <c r="I85" s="93">
        <f t="shared" si="13"/>
        <v>7867.3582471988893</v>
      </c>
      <c r="J85" s="96">
        <f t="shared" si="14"/>
        <v>7867.3582471988893</v>
      </c>
      <c r="K85" s="96"/>
      <c r="L85" s="96"/>
    </row>
    <row r="86" spans="1:12" x14ac:dyDescent="0.25">
      <c r="A86">
        <f t="shared" si="9"/>
        <v>80</v>
      </c>
      <c r="B86" s="96">
        <f t="shared" si="15"/>
        <v>677358.13877560711</v>
      </c>
      <c r="C86" s="96">
        <f t="shared" si="10"/>
        <v>2094.4180334555267</v>
      </c>
      <c r="D86" s="93">
        <f t="shared" si="11"/>
        <v>5365.2785552261639</v>
      </c>
      <c r="E86" s="93">
        <f t="shared" si="8"/>
        <v>7459.6965886816906</v>
      </c>
      <c r="F86" s="93">
        <f>IF(A86="","",B86*Catálogos!$R$1)</f>
        <v>406.41488326536421</v>
      </c>
      <c r="G86" s="93">
        <f>IF(A86="","",IF(B86=0,0,$B$4*Catálogos!$Q$6))</f>
        <v>0</v>
      </c>
      <c r="H86" s="93">
        <f t="shared" si="12"/>
        <v>0</v>
      </c>
      <c r="I86" s="93">
        <f t="shared" si="13"/>
        <v>7866.1114719470552</v>
      </c>
      <c r="J86" s="96">
        <f t="shared" si="14"/>
        <v>7866.1114719470552</v>
      </c>
      <c r="K86" s="96"/>
      <c r="L86" s="96"/>
    </row>
    <row r="87" spans="1:12" x14ac:dyDescent="0.25">
      <c r="A87">
        <f t="shared" si="9"/>
        <v>81</v>
      </c>
      <c r="B87" s="96">
        <f t="shared" si="15"/>
        <v>675263.72074215161</v>
      </c>
      <c r="C87" s="96">
        <f t="shared" si="10"/>
        <v>2111.0076859854125</v>
      </c>
      <c r="D87" s="93">
        <f t="shared" si="11"/>
        <v>5348.6889026962781</v>
      </c>
      <c r="E87" s="93">
        <f t="shared" si="8"/>
        <v>7459.6965886816906</v>
      </c>
      <c r="F87" s="93">
        <f>IF(A87="","",B87*Catálogos!$R$1)</f>
        <v>405.15823244529093</v>
      </c>
      <c r="G87" s="93">
        <f>IF(A87="","",IF(B87=0,0,$B$4*Catálogos!$Q$6))</f>
        <v>0</v>
      </c>
      <c r="H87" s="93">
        <f t="shared" si="12"/>
        <v>0</v>
      </c>
      <c r="I87" s="93">
        <f t="shared" si="13"/>
        <v>7864.8548211269817</v>
      </c>
      <c r="J87" s="96">
        <f t="shared" si="14"/>
        <v>7864.8548211269817</v>
      </c>
      <c r="K87" s="96"/>
      <c r="L87" s="96"/>
    </row>
    <row r="88" spans="1:12" x14ac:dyDescent="0.25">
      <c r="A88">
        <f t="shared" si="9"/>
        <v>82</v>
      </c>
      <c r="B88" s="96">
        <f t="shared" si="15"/>
        <v>673152.71305616619</v>
      </c>
      <c r="C88" s="96">
        <f t="shared" si="10"/>
        <v>2127.7287433096935</v>
      </c>
      <c r="D88" s="93">
        <f t="shared" si="11"/>
        <v>5331.9678453719971</v>
      </c>
      <c r="E88" s="93">
        <f t="shared" si="8"/>
        <v>7459.6965886816906</v>
      </c>
      <c r="F88" s="93">
        <f>IF(A88="","",B88*Catálogos!$R$1)</f>
        <v>403.89162783369966</v>
      </c>
      <c r="G88" s="93">
        <f>IF(A88="","",IF(B88=0,0,$B$4*Catálogos!$Q$6))</f>
        <v>0</v>
      </c>
      <c r="H88" s="93">
        <f t="shared" si="12"/>
        <v>0</v>
      </c>
      <c r="I88" s="93">
        <f t="shared" si="13"/>
        <v>7863.5882165153907</v>
      </c>
      <c r="J88" s="96">
        <f t="shared" si="14"/>
        <v>7863.5882165153907</v>
      </c>
      <c r="K88" s="96"/>
      <c r="L88" s="96"/>
    </row>
    <row r="89" spans="1:12" x14ac:dyDescent="0.25">
      <c r="A89">
        <f t="shared" si="9"/>
        <v>83</v>
      </c>
      <c r="B89" s="96">
        <f t="shared" si="15"/>
        <v>671024.98431285645</v>
      </c>
      <c r="C89" s="96">
        <f t="shared" si="10"/>
        <v>2144.5822462711449</v>
      </c>
      <c r="D89" s="93">
        <f t="shared" si="11"/>
        <v>5315.1143424105458</v>
      </c>
      <c r="E89" s="93">
        <f t="shared" si="8"/>
        <v>7459.6965886816906</v>
      </c>
      <c r="F89" s="93">
        <f>IF(A89="","",B89*Catálogos!$R$1)</f>
        <v>402.61499058771386</v>
      </c>
      <c r="G89" s="93">
        <f>IF(A89="","",IF(B89=0,0,$B$4*Catálogos!$Q$6))</f>
        <v>0</v>
      </c>
      <c r="H89" s="93">
        <f t="shared" si="12"/>
        <v>0</v>
      </c>
      <c r="I89" s="93">
        <f t="shared" si="13"/>
        <v>7862.3115792694043</v>
      </c>
      <c r="J89" s="96">
        <f t="shared" si="14"/>
        <v>7862.3115792694043</v>
      </c>
      <c r="K89" s="96"/>
      <c r="L89" s="96"/>
    </row>
    <row r="90" spans="1:12" x14ac:dyDescent="0.25">
      <c r="A90">
        <f t="shared" si="9"/>
        <v>84</v>
      </c>
      <c r="B90" s="96">
        <f t="shared" si="15"/>
        <v>668880.40206658526</v>
      </c>
      <c r="C90" s="96">
        <f t="shared" si="10"/>
        <v>2161.569243956943</v>
      </c>
      <c r="D90" s="93">
        <f t="shared" si="11"/>
        <v>5298.1273447247477</v>
      </c>
      <c r="E90" s="93">
        <f t="shared" si="8"/>
        <v>7459.6965886816906</v>
      </c>
      <c r="F90" s="93">
        <f>IF(A90="","",B90*Catálogos!$R$1)</f>
        <v>401.32824123995113</v>
      </c>
      <c r="G90" s="93">
        <f>IF(A90="","",IF(B90=0,0,$B$4*Catálogos!$Q$6))</f>
        <v>0</v>
      </c>
      <c r="H90" s="93">
        <f t="shared" si="12"/>
        <v>0</v>
      </c>
      <c r="I90" s="93">
        <f t="shared" si="13"/>
        <v>7861.0248299216419</v>
      </c>
      <c r="J90" s="96">
        <f t="shared" si="14"/>
        <v>7861.0248299216419</v>
      </c>
      <c r="K90" s="96"/>
      <c r="L90" s="96"/>
    </row>
    <row r="91" spans="1:12" x14ac:dyDescent="0.25">
      <c r="A91">
        <f t="shared" si="9"/>
        <v>85</v>
      </c>
      <c r="B91" s="96">
        <f t="shared" si="15"/>
        <v>666718.83282262832</v>
      </c>
      <c r="C91" s="96">
        <f t="shared" si="10"/>
        <v>2178.6907937639653</v>
      </c>
      <c r="D91" s="93">
        <f t="shared" si="11"/>
        <v>5281.0057949177253</v>
      </c>
      <c r="E91" s="93">
        <f t="shared" si="8"/>
        <v>7459.6965886816906</v>
      </c>
      <c r="F91" s="93">
        <f>IF(A91="","",B91*Catálogos!$R$1)</f>
        <v>400.03129969357695</v>
      </c>
      <c r="G91" s="93">
        <f>IF(A91="","",IF(B91=0,0,$B$4*Catálogos!$Q$6))</f>
        <v>0</v>
      </c>
      <c r="H91" s="93">
        <f t="shared" si="12"/>
        <v>0</v>
      </c>
      <c r="I91" s="93">
        <f t="shared" si="13"/>
        <v>7859.7278883752679</v>
      </c>
      <c r="J91" s="96">
        <f t="shared" si="14"/>
        <v>7859.7278883752679</v>
      </c>
      <c r="K91" s="96"/>
      <c r="L91" s="96"/>
    </row>
    <row r="92" spans="1:12" x14ac:dyDescent="0.25">
      <c r="A92">
        <f t="shared" si="9"/>
        <v>86</v>
      </c>
      <c r="B92" s="96">
        <f t="shared" si="15"/>
        <v>664540.14202886436</v>
      </c>
      <c r="C92" s="96">
        <f t="shared" si="10"/>
        <v>2195.9479614646152</v>
      </c>
      <c r="D92" s="93">
        <f t="shared" si="11"/>
        <v>5263.7486272170754</v>
      </c>
      <c r="E92" s="93">
        <f t="shared" si="8"/>
        <v>7459.6965886816906</v>
      </c>
      <c r="F92" s="93">
        <f>IF(A92="","",B92*Catálogos!$R$1)</f>
        <v>398.72408521731859</v>
      </c>
      <c r="G92" s="93">
        <f>IF(A92="","",IF(B92=0,0,$B$4*Catálogos!$Q$6))</f>
        <v>0</v>
      </c>
      <c r="H92" s="93">
        <f t="shared" si="12"/>
        <v>0</v>
      </c>
      <c r="I92" s="93">
        <f t="shared" si="13"/>
        <v>7858.4206738990088</v>
      </c>
      <c r="J92" s="96">
        <f t="shared" si="14"/>
        <v>7858.4206738990088</v>
      </c>
      <c r="K92" s="96"/>
      <c r="L92" s="96"/>
    </row>
    <row r="93" spans="1:12" x14ac:dyDescent="0.25">
      <c r="A93">
        <f t="shared" si="9"/>
        <v>87</v>
      </c>
      <c r="B93" s="96">
        <f t="shared" si="15"/>
        <v>662344.19406739972</v>
      </c>
      <c r="C93" s="96">
        <f t="shared" si="10"/>
        <v>2213.3418212731585</v>
      </c>
      <c r="D93" s="93">
        <f t="shared" si="11"/>
        <v>5246.3547674085321</v>
      </c>
      <c r="E93" s="93">
        <f t="shared" si="8"/>
        <v>7459.6965886816906</v>
      </c>
      <c r="F93" s="93">
        <f>IF(A93="","",B93*Catálogos!$R$1)</f>
        <v>397.40651644043982</v>
      </c>
      <c r="G93" s="93">
        <f>IF(A93="","",IF(B93=0,0,$B$4*Catálogos!$Q$6))</f>
        <v>0</v>
      </c>
      <c r="H93" s="93">
        <f t="shared" si="12"/>
        <v>0</v>
      </c>
      <c r="I93" s="93">
        <f t="shared" si="13"/>
        <v>7857.1031051221307</v>
      </c>
      <c r="J93" s="96">
        <f t="shared" si="14"/>
        <v>7857.1031051221307</v>
      </c>
      <c r="K93" s="96"/>
      <c r="L93" s="96"/>
    </row>
    <row r="94" spans="1:12" x14ac:dyDescent="0.25">
      <c r="A94">
        <f t="shared" si="9"/>
        <v>88</v>
      </c>
      <c r="B94" s="96">
        <f t="shared" si="15"/>
        <v>660130.85224612651</v>
      </c>
      <c r="C94" s="96">
        <f t="shared" si="10"/>
        <v>2230.8734559125942</v>
      </c>
      <c r="D94" s="93">
        <f t="shared" si="11"/>
        <v>5228.8231327690964</v>
      </c>
      <c r="E94" s="93">
        <f t="shared" si="8"/>
        <v>7459.6965886816906</v>
      </c>
      <c r="F94" s="93">
        <f>IF(A94="","",B94*Catálogos!$R$1)</f>
        <v>396.07851134767589</v>
      </c>
      <c r="G94" s="93">
        <f>IF(A94="","",IF(B94=0,0,$B$4*Catálogos!$Q$6))</f>
        <v>0</v>
      </c>
      <c r="H94" s="93">
        <f t="shared" si="12"/>
        <v>0</v>
      </c>
      <c r="I94" s="93">
        <f t="shared" si="13"/>
        <v>7855.7751000293665</v>
      </c>
      <c r="J94" s="96">
        <f t="shared" si="14"/>
        <v>7855.7751000293665</v>
      </c>
      <c r="K94" s="96"/>
      <c r="L94" s="96"/>
    </row>
    <row r="95" spans="1:12" x14ac:dyDescent="0.25">
      <c r="A95">
        <f t="shared" si="9"/>
        <v>89</v>
      </c>
      <c r="B95" s="96">
        <f t="shared" si="15"/>
        <v>657899.97879021394</v>
      </c>
      <c r="C95" s="96">
        <f t="shared" si="10"/>
        <v>2248.5439566820496</v>
      </c>
      <c r="D95" s="93">
        <f t="shared" si="11"/>
        <v>5211.152631999641</v>
      </c>
      <c r="E95" s="93">
        <f t="shared" si="8"/>
        <v>7459.6965886816906</v>
      </c>
      <c r="F95" s="93">
        <f>IF(A95="","",B95*Catálogos!$R$1)</f>
        <v>394.73998727412834</v>
      </c>
      <c r="G95" s="93">
        <f>IF(A95="","",IF(B95=0,0,$B$4*Catálogos!$Q$6))</f>
        <v>0</v>
      </c>
      <c r="H95" s="93">
        <f t="shared" si="12"/>
        <v>0</v>
      </c>
      <c r="I95" s="93">
        <f t="shared" si="13"/>
        <v>7854.4365759558186</v>
      </c>
      <c r="J95" s="96">
        <f t="shared" si="14"/>
        <v>7854.4365759558186</v>
      </c>
      <c r="K95" s="96"/>
      <c r="L95" s="96"/>
    </row>
    <row r="96" spans="1:12" x14ac:dyDescent="0.25">
      <c r="A96">
        <f t="shared" si="9"/>
        <v>90</v>
      </c>
      <c r="B96" s="96">
        <f t="shared" si="15"/>
        <v>655651.43483353185</v>
      </c>
      <c r="C96" s="96">
        <f t="shared" si="10"/>
        <v>2266.3544235247109</v>
      </c>
      <c r="D96" s="93">
        <f t="shared" si="11"/>
        <v>5193.3421651569797</v>
      </c>
      <c r="E96" s="93">
        <f t="shared" si="8"/>
        <v>7459.6965886816906</v>
      </c>
      <c r="F96" s="93">
        <f>IF(A96="","",B96*Catálogos!$R$1)</f>
        <v>393.39086090011909</v>
      </c>
      <c r="G96" s="93">
        <f>IF(A96="","",IF(B96=0,0,$B$4*Catálogos!$Q$6))</f>
        <v>0</v>
      </c>
      <c r="H96" s="93">
        <f t="shared" si="12"/>
        <v>0</v>
      </c>
      <c r="I96" s="93">
        <f t="shared" si="13"/>
        <v>7853.0874495818098</v>
      </c>
      <c r="J96" s="96">
        <f t="shared" si="14"/>
        <v>7853.0874495818098</v>
      </c>
      <c r="K96" s="96"/>
      <c r="L96" s="96"/>
    </row>
    <row r="97" spans="1:12" x14ac:dyDescent="0.25">
      <c r="A97">
        <f t="shared" si="9"/>
        <v>91</v>
      </c>
      <c r="B97" s="96">
        <f t="shared" si="15"/>
        <v>653385.08041000715</v>
      </c>
      <c r="C97" s="96">
        <f t="shared" si="10"/>
        <v>2284.3059650962914</v>
      </c>
      <c r="D97" s="93">
        <f t="shared" si="11"/>
        <v>5175.3906235853992</v>
      </c>
      <c r="E97" s="93">
        <f t="shared" si="8"/>
        <v>7459.6965886816906</v>
      </c>
      <c r="F97" s="93">
        <f>IF(A97="","",B97*Catálogos!$R$1)</f>
        <v>392.03104824600427</v>
      </c>
      <c r="G97" s="93">
        <f>IF(A97="","",IF(B97=0,0,$B$4*Catálogos!$Q$6))</f>
        <v>0</v>
      </c>
      <c r="H97" s="93">
        <f t="shared" si="12"/>
        <v>0</v>
      </c>
      <c r="I97" s="93">
        <f t="shared" si="13"/>
        <v>7851.7276369276951</v>
      </c>
      <c r="J97" s="96">
        <f t="shared" si="14"/>
        <v>7851.7276369276951</v>
      </c>
      <c r="K97" s="96"/>
      <c r="L97" s="96"/>
    </row>
    <row r="98" spans="1:12" x14ac:dyDescent="0.25">
      <c r="A98">
        <f t="shared" si="9"/>
        <v>92</v>
      </c>
      <c r="B98" s="96">
        <f t="shared" si="15"/>
        <v>651100.77444491081</v>
      </c>
      <c r="C98" s="96">
        <f t="shared" si="10"/>
        <v>2302.3996988340459</v>
      </c>
      <c r="D98" s="93">
        <f t="shared" si="11"/>
        <v>5157.2968898476447</v>
      </c>
      <c r="E98" s="93">
        <f t="shared" si="8"/>
        <v>7459.6965886816906</v>
      </c>
      <c r="F98" s="93">
        <f>IF(A98="","",B98*Catálogos!$R$1)</f>
        <v>390.66046466694644</v>
      </c>
      <c r="G98" s="93">
        <f>IF(A98="","",IF(B98=0,0,$B$4*Catálogos!$Q$6))</f>
        <v>0</v>
      </c>
      <c r="H98" s="93">
        <f t="shared" si="12"/>
        <v>0</v>
      </c>
      <c r="I98" s="93">
        <f t="shared" si="13"/>
        <v>7850.3570533486372</v>
      </c>
      <c r="J98" s="96">
        <f t="shared" si="14"/>
        <v>7850.3570533486372</v>
      </c>
      <c r="K98" s="96"/>
      <c r="L98" s="96"/>
    </row>
    <row r="99" spans="1:12" x14ac:dyDescent="0.25">
      <c r="A99">
        <f t="shared" si="9"/>
        <v>93</v>
      </c>
      <c r="B99" s="96">
        <f t="shared" si="15"/>
        <v>648798.37474607676</v>
      </c>
      <c r="C99" s="96">
        <f t="shared" si="10"/>
        <v>2320.6367510263217</v>
      </c>
      <c r="D99" s="93">
        <f t="shared" si="11"/>
        <v>5139.0598376553689</v>
      </c>
      <c r="E99" s="93">
        <f t="shared" si="8"/>
        <v>7459.6965886816906</v>
      </c>
      <c r="F99" s="93">
        <f>IF(A99="","",B99*Catálogos!$R$1)</f>
        <v>389.27902484764604</v>
      </c>
      <c r="G99" s="93">
        <f>IF(A99="","",IF(B99=0,0,$B$4*Catálogos!$Q$6))</f>
        <v>0</v>
      </c>
      <c r="H99" s="93">
        <f t="shared" si="12"/>
        <v>0</v>
      </c>
      <c r="I99" s="93">
        <f t="shared" si="13"/>
        <v>7848.9756135293364</v>
      </c>
      <c r="J99" s="96">
        <f t="shared" si="14"/>
        <v>7848.9756135293364</v>
      </c>
      <c r="K99" s="96"/>
      <c r="L99" s="96"/>
    </row>
    <row r="100" spans="1:12" x14ac:dyDescent="0.25">
      <c r="A100">
        <f t="shared" si="9"/>
        <v>94</v>
      </c>
      <c r="B100" s="96">
        <f t="shared" si="15"/>
        <v>646477.7379950505</v>
      </c>
      <c r="C100" s="96">
        <f t="shared" si="10"/>
        <v>2339.0182568826731</v>
      </c>
      <c r="D100" s="93">
        <f t="shared" si="11"/>
        <v>5120.6783317990175</v>
      </c>
      <c r="E100" s="93">
        <f t="shared" si="8"/>
        <v>7459.6965886816906</v>
      </c>
      <c r="F100" s="93">
        <f>IF(A100="","",B100*Catálogos!$R$1)</f>
        <v>387.88664279703028</v>
      </c>
      <c r="G100" s="93">
        <f>IF(A100="","",IF(B100=0,0,$B$4*Catálogos!$Q$6))</f>
        <v>0</v>
      </c>
      <c r="H100" s="93">
        <f t="shared" si="12"/>
        <v>0</v>
      </c>
      <c r="I100" s="93">
        <f t="shared" si="13"/>
        <v>7847.5832314787212</v>
      </c>
      <c r="J100" s="96">
        <f t="shared" si="14"/>
        <v>7847.5832314787212</v>
      </c>
      <c r="K100" s="96"/>
      <c r="L100" s="96"/>
    </row>
    <row r="101" spans="1:12" x14ac:dyDescent="0.25">
      <c r="A101">
        <f t="shared" si="9"/>
        <v>95</v>
      </c>
      <c r="B101" s="96">
        <f t="shared" si="15"/>
        <v>644138.71973816783</v>
      </c>
      <c r="C101" s="96">
        <f t="shared" si="10"/>
        <v>2357.545360604523</v>
      </c>
      <c r="D101" s="93">
        <f t="shared" si="11"/>
        <v>5102.1512280771676</v>
      </c>
      <c r="E101" s="93">
        <f t="shared" si="8"/>
        <v>7459.6965886816906</v>
      </c>
      <c r="F101" s="93">
        <f>IF(A101="","",B101*Catálogos!$R$1)</f>
        <v>386.48323184290064</v>
      </c>
      <c r="G101" s="93">
        <f>IF(A101="","",IF(B101=0,0,$B$4*Catálogos!$Q$6))</f>
        <v>0</v>
      </c>
      <c r="H101" s="93">
        <f t="shared" si="12"/>
        <v>0</v>
      </c>
      <c r="I101" s="93">
        <f t="shared" si="13"/>
        <v>7846.1798205245914</v>
      </c>
      <c r="J101" s="96">
        <f t="shared" si="14"/>
        <v>7846.1798205245914</v>
      </c>
      <c r="K101" s="96"/>
      <c r="L101" s="96"/>
    </row>
    <row r="102" spans="1:12" x14ac:dyDescent="0.25">
      <c r="A102">
        <f t="shared" si="9"/>
        <v>96</v>
      </c>
      <c r="B102" s="96">
        <f t="shared" si="15"/>
        <v>641781.17437756329</v>
      </c>
      <c r="C102" s="96">
        <f t="shared" si="10"/>
        <v>2376.2192154563872</v>
      </c>
      <c r="D102" s="93">
        <f t="shared" si="11"/>
        <v>5083.4773732253034</v>
      </c>
      <c r="E102" s="93">
        <f t="shared" si="8"/>
        <v>7459.6965886816906</v>
      </c>
      <c r="F102" s="93">
        <f>IF(A102="","",B102*Catálogos!$R$1)</f>
        <v>385.06870462653796</v>
      </c>
      <c r="G102" s="93">
        <f>IF(A102="","",IF(B102=0,0,$B$4*Catálogos!$Q$6))</f>
        <v>0</v>
      </c>
      <c r="H102" s="93">
        <f t="shared" si="12"/>
        <v>0</v>
      </c>
      <c r="I102" s="93">
        <f t="shared" si="13"/>
        <v>7844.7652933082281</v>
      </c>
      <c r="J102" s="96">
        <f t="shared" si="14"/>
        <v>7844.7652933082281</v>
      </c>
      <c r="K102" s="96"/>
      <c r="L102" s="96"/>
    </row>
    <row r="103" spans="1:12" x14ac:dyDescent="0.25">
      <c r="A103">
        <f t="shared" si="9"/>
        <v>97</v>
      </c>
      <c r="B103" s="96">
        <f t="shared" si="15"/>
        <v>639404.9551621069</v>
      </c>
      <c r="C103" s="96">
        <f t="shared" si="10"/>
        <v>2395.04098383766</v>
      </c>
      <c r="D103" s="93">
        <f t="shared" si="11"/>
        <v>5064.6556048440307</v>
      </c>
      <c r="E103" s="93">
        <f t="shared" si="8"/>
        <v>7459.6965886816906</v>
      </c>
      <c r="F103" s="93">
        <f>IF(A103="","",B103*Catálogos!$R$1)</f>
        <v>383.64297309726413</v>
      </c>
      <c r="G103" s="93">
        <f>IF(A103="","",IF(B103=0,0,$B$4*Catálogos!$Q$6))</f>
        <v>0</v>
      </c>
      <c r="H103" s="93">
        <f t="shared" si="12"/>
        <v>0</v>
      </c>
      <c r="I103" s="93">
        <f t="shared" si="13"/>
        <v>7843.3395617789547</v>
      </c>
      <c r="J103" s="96">
        <f t="shared" si="14"/>
        <v>7843.3395617789547</v>
      </c>
      <c r="K103" s="96"/>
      <c r="L103" s="96"/>
    </row>
    <row r="104" spans="1:12" x14ac:dyDescent="0.25">
      <c r="A104">
        <f t="shared" si="9"/>
        <v>98</v>
      </c>
      <c r="B104" s="96">
        <f t="shared" si="15"/>
        <v>637009.91417826922</v>
      </c>
      <c r="C104" s="96">
        <f t="shared" si="10"/>
        <v>2414.0118373549731</v>
      </c>
      <c r="D104" s="93">
        <f t="shared" si="11"/>
        <v>5045.6847513267176</v>
      </c>
      <c r="E104" s="93">
        <f t="shared" si="8"/>
        <v>7459.6965886816906</v>
      </c>
      <c r="F104" s="93">
        <f>IF(A104="","",B104*Catálogos!$R$1)</f>
        <v>382.20594850696148</v>
      </c>
      <c r="G104" s="93">
        <f>IF(A104="","",IF(B104=0,0,$B$4*Catálogos!$Q$6))</f>
        <v>0</v>
      </c>
      <c r="H104" s="93">
        <f t="shared" si="12"/>
        <v>0</v>
      </c>
      <c r="I104" s="93">
        <f t="shared" si="13"/>
        <v>7841.9025371886519</v>
      </c>
      <c r="J104" s="96">
        <f t="shared" si="14"/>
        <v>7841.9025371886519</v>
      </c>
      <c r="K104" s="96"/>
      <c r="L104" s="96"/>
    </row>
    <row r="105" spans="1:12" x14ac:dyDescent="0.25">
      <c r="A105">
        <f t="shared" si="9"/>
        <v>99</v>
      </c>
      <c r="B105" s="96">
        <f t="shared" si="15"/>
        <v>634595.90234091424</v>
      </c>
      <c r="C105" s="96">
        <f t="shared" si="10"/>
        <v>2433.1329568951251</v>
      </c>
      <c r="D105" s="93">
        <f t="shared" si="11"/>
        <v>5026.5636317865656</v>
      </c>
      <c r="E105" s="93">
        <f t="shared" si="8"/>
        <v>7459.6965886816906</v>
      </c>
      <c r="F105" s="93">
        <f>IF(A105="","",B105*Catálogos!$R$1)</f>
        <v>380.75754140454853</v>
      </c>
      <c r="G105" s="93">
        <f>IF(A105="","",IF(B105=0,0,$B$4*Catálogos!$Q$6))</f>
        <v>0</v>
      </c>
      <c r="H105" s="93">
        <f t="shared" si="12"/>
        <v>0</v>
      </c>
      <c r="I105" s="93">
        <f t="shared" si="13"/>
        <v>7840.4541300862393</v>
      </c>
      <c r="J105" s="96">
        <f t="shared" si="14"/>
        <v>7840.4541300862393</v>
      </c>
      <c r="K105" s="96"/>
      <c r="L105" s="96"/>
    </row>
    <row r="106" spans="1:12" x14ac:dyDescent="0.25">
      <c r="A106">
        <f t="shared" si="9"/>
        <v>100</v>
      </c>
      <c r="B106" s="96">
        <f t="shared" si="15"/>
        <v>632162.76938401908</v>
      </c>
      <c r="C106" s="96">
        <f t="shared" si="10"/>
        <v>2452.4055326985854</v>
      </c>
      <c r="D106" s="93">
        <f t="shared" si="11"/>
        <v>5007.2910559831053</v>
      </c>
      <c r="E106" s="93">
        <f t="shared" si="8"/>
        <v>7459.6965886816906</v>
      </c>
      <c r="F106" s="93">
        <f>IF(A106="","",B106*Catálogos!$R$1)</f>
        <v>379.29766163041143</v>
      </c>
      <c r="G106" s="93">
        <f>IF(A106="","",IF(B106=0,0,$B$4*Catálogos!$Q$6))</f>
        <v>0</v>
      </c>
      <c r="H106" s="93">
        <f t="shared" si="12"/>
        <v>0</v>
      </c>
      <c r="I106" s="93">
        <f t="shared" si="13"/>
        <v>7838.9942503121019</v>
      </c>
      <c r="J106" s="96">
        <f t="shared" si="14"/>
        <v>7838.9942503121019</v>
      </c>
      <c r="K106" s="96"/>
      <c r="L106" s="96"/>
    </row>
    <row r="107" spans="1:12" x14ac:dyDescent="0.25">
      <c r="A107">
        <f t="shared" si="9"/>
        <v>101</v>
      </c>
      <c r="B107" s="96">
        <f t="shared" si="15"/>
        <v>629710.36385132046</v>
      </c>
      <c r="C107" s="96">
        <f t="shared" si="10"/>
        <v>2471.8307644335873</v>
      </c>
      <c r="D107" s="93">
        <f t="shared" si="11"/>
        <v>4987.8658242481033</v>
      </c>
      <c r="E107" s="93">
        <f t="shared" si="8"/>
        <v>7459.6965886816906</v>
      </c>
      <c r="F107" s="93">
        <f>IF(A107="","",B107*Catálogos!$R$1)</f>
        <v>377.82621831079223</v>
      </c>
      <c r="G107" s="93">
        <f>IF(A107="","",IF(B107=0,0,$B$4*Catálogos!$Q$6))</f>
        <v>0</v>
      </c>
      <c r="H107" s="93">
        <f t="shared" si="12"/>
        <v>0</v>
      </c>
      <c r="I107" s="93">
        <f t="shared" si="13"/>
        <v>7837.5228069924833</v>
      </c>
      <c r="J107" s="96">
        <f t="shared" si="14"/>
        <v>7837.5228069924833</v>
      </c>
      <c r="K107" s="96"/>
      <c r="L107" s="96"/>
    </row>
    <row r="108" spans="1:12" x14ac:dyDescent="0.25">
      <c r="A108">
        <f t="shared" si="9"/>
        <v>102</v>
      </c>
      <c r="B108" s="96">
        <f t="shared" si="15"/>
        <v>627238.53308688686</v>
      </c>
      <c r="C108" s="96">
        <f t="shared" si="10"/>
        <v>2491.409861270803</v>
      </c>
      <c r="D108" s="93">
        <f t="shared" si="11"/>
        <v>4968.2867274108876</v>
      </c>
      <c r="E108" s="93">
        <f t="shared" si="8"/>
        <v>7459.6965886816906</v>
      </c>
      <c r="F108" s="93">
        <f>IF(A108="","",B108*Catálogos!$R$1)</f>
        <v>376.34311985213208</v>
      </c>
      <c r="G108" s="93">
        <f>IF(A108="","",IF(B108=0,0,$B$4*Catálogos!$Q$6))</f>
        <v>0</v>
      </c>
      <c r="H108" s="93">
        <f t="shared" si="12"/>
        <v>0</v>
      </c>
      <c r="I108" s="93">
        <f t="shared" si="13"/>
        <v>7836.0397085338227</v>
      </c>
      <c r="J108" s="96">
        <f t="shared" si="14"/>
        <v>7836.0397085338227</v>
      </c>
      <c r="K108" s="96"/>
      <c r="L108" s="96"/>
    </row>
    <row r="109" spans="1:12" x14ac:dyDescent="0.25">
      <c r="A109">
        <f t="shared" si="9"/>
        <v>103</v>
      </c>
      <c r="B109" s="96">
        <f t="shared" si="15"/>
        <v>624747.12322561606</v>
      </c>
      <c r="C109" s="96">
        <f t="shared" si="10"/>
        <v>2511.1440419586106</v>
      </c>
      <c r="D109" s="93">
        <f t="shared" si="11"/>
        <v>4948.55254672308</v>
      </c>
      <c r="E109" s="93">
        <f t="shared" si="8"/>
        <v>7459.6965886816906</v>
      </c>
      <c r="F109" s="93">
        <f>IF(A109="","",B109*Catálogos!$R$1)</f>
        <v>374.8482739353696</v>
      </c>
      <c r="G109" s="93">
        <f>IF(A109="","",IF(B109=0,0,$B$4*Catálogos!$Q$6))</f>
        <v>0</v>
      </c>
      <c r="H109" s="93">
        <f t="shared" si="12"/>
        <v>0</v>
      </c>
      <c r="I109" s="93">
        <f t="shared" si="13"/>
        <v>7834.5448626170601</v>
      </c>
      <c r="J109" s="96">
        <f t="shared" si="14"/>
        <v>7834.5448626170601</v>
      </c>
      <c r="K109" s="96"/>
      <c r="L109" s="96"/>
    </row>
    <row r="110" spans="1:12" x14ac:dyDescent="0.25">
      <c r="A110">
        <f t="shared" si="9"/>
        <v>104</v>
      </c>
      <c r="B110" s="96">
        <f t="shared" si="15"/>
        <v>622235.97918365744</v>
      </c>
      <c r="C110" s="96">
        <f t="shared" si="10"/>
        <v>2531.0345348989604</v>
      </c>
      <c r="D110" s="93">
        <f t="shared" si="11"/>
        <v>4928.6620537827303</v>
      </c>
      <c r="E110" s="93">
        <f t="shared" si="8"/>
        <v>7459.6965886816906</v>
      </c>
      <c r="F110" s="93">
        <f>IF(A110="","",B110*Catálogos!$R$1)</f>
        <v>373.34158751019442</v>
      </c>
      <c r="G110" s="93">
        <f>IF(A110="","",IF(B110=0,0,$B$4*Catálogos!$Q$6))</f>
        <v>0</v>
      </c>
      <c r="H110" s="93">
        <f t="shared" si="12"/>
        <v>0</v>
      </c>
      <c r="I110" s="93">
        <f t="shared" si="13"/>
        <v>7833.0381761918852</v>
      </c>
      <c r="J110" s="96">
        <f t="shared" si="14"/>
        <v>7833.0381761918852</v>
      </c>
      <c r="K110" s="96"/>
      <c r="L110" s="96"/>
    </row>
    <row r="111" spans="1:12" x14ac:dyDescent="0.25">
      <c r="A111">
        <f t="shared" si="9"/>
        <v>105</v>
      </c>
      <c r="B111" s="96">
        <f t="shared" si="15"/>
        <v>619704.94464875851</v>
      </c>
      <c r="C111" s="96">
        <f t="shared" si="10"/>
        <v>2551.0825782238353</v>
      </c>
      <c r="D111" s="93">
        <f t="shared" si="11"/>
        <v>4908.6140104578553</v>
      </c>
      <c r="E111" s="93">
        <f t="shared" si="8"/>
        <v>7459.6965886816906</v>
      </c>
      <c r="F111" s="93">
        <f>IF(A111="","",B111*Catálogos!$R$1)</f>
        <v>371.82296678925508</v>
      </c>
      <c r="G111" s="93">
        <f>IF(A111="","",IF(B111=0,0,$B$4*Catálogos!$Q$6))</f>
        <v>0</v>
      </c>
      <c r="H111" s="93">
        <f t="shared" si="12"/>
        <v>0</v>
      </c>
      <c r="I111" s="93">
        <f t="shared" si="13"/>
        <v>7831.5195554709453</v>
      </c>
      <c r="J111" s="96">
        <f t="shared" si="14"/>
        <v>7831.5195554709453</v>
      </c>
      <c r="K111" s="96"/>
      <c r="L111" s="96"/>
    </row>
    <row r="112" spans="1:12" x14ac:dyDescent="0.25">
      <c r="A112">
        <f t="shared" si="9"/>
        <v>106</v>
      </c>
      <c r="B112" s="96">
        <f t="shared" si="15"/>
        <v>617153.86207053473</v>
      </c>
      <c r="C112" s="96">
        <f t="shared" si="10"/>
        <v>2571.2894198723261</v>
      </c>
      <c r="D112" s="93">
        <f t="shared" si="11"/>
        <v>4888.4071688093645</v>
      </c>
      <c r="E112" s="93">
        <f t="shared" si="8"/>
        <v>7459.6965886816906</v>
      </c>
      <c r="F112" s="93">
        <f>IF(A112="","",B112*Catálogos!$R$1)</f>
        <v>370.29231724232079</v>
      </c>
      <c r="G112" s="93">
        <f>IF(A112="","",IF(B112=0,0,$B$4*Catálogos!$Q$6))</f>
        <v>0</v>
      </c>
      <c r="H112" s="93">
        <f t="shared" si="12"/>
        <v>0</v>
      </c>
      <c r="I112" s="93">
        <f t="shared" si="13"/>
        <v>7829.9889059240113</v>
      </c>
      <c r="J112" s="96">
        <f t="shared" si="14"/>
        <v>7829.9889059240113</v>
      </c>
      <c r="K112" s="96"/>
      <c r="L112" s="96"/>
    </row>
    <row r="113" spans="1:12" x14ac:dyDescent="0.25">
      <c r="A113">
        <f t="shared" si="9"/>
        <v>107</v>
      </c>
      <c r="B113" s="96">
        <f t="shared" si="15"/>
        <v>614582.57265066239</v>
      </c>
      <c r="C113" s="96">
        <f t="shared" si="10"/>
        <v>2591.6563176683103</v>
      </c>
      <c r="D113" s="93">
        <f t="shared" si="11"/>
        <v>4868.0402710133803</v>
      </c>
      <c r="E113" s="93">
        <f t="shared" si="8"/>
        <v>7459.6965886816906</v>
      </c>
      <c r="F113" s="93">
        <f>IF(A113="","",B113*Catálogos!$R$1)</f>
        <v>368.74954359039742</v>
      </c>
      <c r="G113" s="93">
        <f>IF(A113="","",IF(B113=0,0,$B$4*Catálogos!$Q$6))</f>
        <v>0</v>
      </c>
      <c r="H113" s="93">
        <f t="shared" si="12"/>
        <v>0</v>
      </c>
      <c r="I113" s="93">
        <f t="shared" si="13"/>
        <v>7828.4461322720881</v>
      </c>
      <c r="J113" s="96">
        <f t="shared" si="14"/>
        <v>7828.4461322720881</v>
      </c>
      <c r="K113" s="96"/>
      <c r="L113" s="96"/>
    </row>
    <row r="114" spans="1:12" x14ac:dyDescent="0.25">
      <c r="A114">
        <f t="shared" si="9"/>
        <v>108</v>
      </c>
      <c r="B114" s="96">
        <f t="shared" si="15"/>
        <v>611990.91633299412</v>
      </c>
      <c r="C114" s="96">
        <f t="shared" si="10"/>
        <v>2612.1845393987478</v>
      </c>
      <c r="D114" s="93">
        <f t="shared" si="11"/>
        <v>4847.5120492829428</v>
      </c>
      <c r="E114" s="93">
        <f t="shared" si="8"/>
        <v>7459.6965886816906</v>
      </c>
      <c r="F114" s="93">
        <f>IF(A114="","",B114*Catálogos!$R$1)</f>
        <v>367.19454979979645</v>
      </c>
      <c r="G114" s="93">
        <f>IF(A114="","",IF(B114=0,0,$B$4*Catálogos!$Q$6))</f>
        <v>0</v>
      </c>
      <c r="H114" s="93">
        <f t="shared" si="12"/>
        <v>0</v>
      </c>
      <c r="I114" s="93">
        <f t="shared" si="13"/>
        <v>7826.8911384814874</v>
      </c>
      <c r="J114" s="96">
        <f t="shared" si="14"/>
        <v>7826.8911384814874</v>
      </c>
      <c r="K114" s="96"/>
      <c r="L114" s="96"/>
    </row>
    <row r="115" spans="1:12" x14ac:dyDescent="0.25">
      <c r="A115">
        <f t="shared" si="9"/>
        <v>109</v>
      </c>
      <c r="B115" s="96">
        <f t="shared" si="15"/>
        <v>609378.73179359536</v>
      </c>
      <c r="C115" s="96">
        <f t="shared" si="10"/>
        <v>2632.8753628925988</v>
      </c>
      <c r="D115" s="93">
        <f t="shared" si="11"/>
        <v>4826.8212257890918</v>
      </c>
      <c r="E115" s="93">
        <f t="shared" si="8"/>
        <v>7459.6965886816906</v>
      </c>
      <c r="F115" s="93">
        <f>IF(A115="","",B115*Catálogos!$R$1)</f>
        <v>365.6272390761572</v>
      </c>
      <c r="G115" s="93">
        <f>IF(A115="","",IF(B115=0,0,$B$4*Catálogos!$Q$6))</f>
        <v>0</v>
      </c>
      <c r="H115" s="93">
        <f t="shared" si="12"/>
        <v>0</v>
      </c>
      <c r="I115" s="93">
        <f t="shared" si="13"/>
        <v>7825.3238277578475</v>
      </c>
      <c r="J115" s="96">
        <f t="shared" si="14"/>
        <v>7825.3238277578475</v>
      </c>
      <c r="K115" s="96"/>
      <c r="L115" s="96"/>
    </row>
    <row r="116" spans="1:12" x14ac:dyDescent="0.25">
      <c r="A116">
        <f t="shared" si="9"/>
        <v>110</v>
      </c>
      <c r="B116" s="96">
        <f t="shared" si="15"/>
        <v>606745.85643070273</v>
      </c>
      <c r="C116" s="96">
        <f t="shared" si="10"/>
        <v>2653.7300761003644</v>
      </c>
      <c r="D116" s="93">
        <f t="shared" si="11"/>
        <v>4805.9665125813262</v>
      </c>
      <c r="E116" s="93">
        <f t="shared" si="8"/>
        <v>7459.6965886816906</v>
      </c>
      <c r="F116" s="93">
        <f>IF(A116="","",B116*Catálogos!$R$1)</f>
        <v>364.04751385842161</v>
      </c>
      <c r="G116" s="93">
        <f>IF(A116="","",IF(B116=0,0,$B$4*Catálogos!$Q$6))</f>
        <v>0</v>
      </c>
      <c r="H116" s="93">
        <f t="shared" si="12"/>
        <v>0</v>
      </c>
      <c r="I116" s="93">
        <f t="shared" si="13"/>
        <v>7823.7441025401122</v>
      </c>
      <c r="J116" s="96">
        <f t="shared" si="14"/>
        <v>7823.7441025401122</v>
      </c>
      <c r="K116" s="96"/>
      <c r="L116" s="96"/>
    </row>
    <row r="117" spans="1:12" x14ac:dyDescent="0.25">
      <c r="A117">
        <f t="shared" si="9"/>
        <v>111</v>
      </c>
      <c r="B117" s="96">
        <f t="shared" si="15"/>
        <v>604092.1263546024</v>
      </c>
      <c r="C117" s="96">
        <f t="shared" si="10"/>
        <v>2674.7499771742578</v>
      </c>
      <c r="D117" s="93">
        <f t="shared" si="11"/>
        <v>4784.9466115074329</v>
      </c>
      <c r="E117" s="93">
        <f t="shared" si="8"/>
        <v>7459.6965886816906</v>
      </c>
      <c r="F117" s="93">
        <f>IF(A117="","",B117*Catálogos!$R$1)</f>
        <v>362.45527581276139</v>
      </c>
      <c r="G117" s="93">
        <f>IF(A117="","",IF(B117=0,0,$B$4*Catálogos!$Q$6))</f>
        <v>0</v>
      </c>
      <c r="H117" s="93">
        <f t="shared" si="12"/>
        <v>0</v>
      </c>
      <c r="I117" s="93">
        <f t="shared" si="13"/>
        <v>7822.1518644944517</v>
      </c>
      <c r="J117" s="96">
        <f t="shared" si="14"/>
        <v>7822.1518644944517</v>
      </c>
      <c r="K117" s="96"/>
      <c r="L117" s="96"/>
    </row>
    <row r="118" spans="1:12" x14ac:dyDescent="0.25">
      <c r="A118">
        <f t="shared" si="9"/>
        <v>112</v>
      </c>
      <c r="B118" s="96">
        <f t="shared" si="15"/>
        <v>601417.37637742818</v>
      </c>
      <c r="C118" s="96">
        <f t="shared" si="10"/>
        <v>2695.9363745490127</v>
      </c>
      <c r="D118" s="93">
        <f t="shared" si="11"/>
        <v>4763.7602141326779</v>
      </c>
      <c r="E118" s="93">
        <f t="shared" si="8"/>
        <v>7459.6965886816906</v>
      </c>
      <c r="F118" s="93">
        <f>IF(A118="","",B118*Catálogos!$R$1)</f>
        <v>360.8504258264569</v>
      </c>
      <c r="G118" s="93">
        <f>IF(A118="","",IF(B118=0,0,$B$4*Catálogos!$Q$6))</f>
        <v>0</v>
      </c>
      <c r="H118" s="93">
        <f t="shared" si="12"/>
        <v>0</v>
      </c>
      <c r="I118" s="93">
        <f t="shared" si="13"/>
        <v>7820.5470145081472</v>
      </c>
      <c r="J118" s="96">
        <f t="shared" si="14"/>
        <v>7820.5470145081472</v>
      </c>
      <c r="K118" s="96"/>
      <c r="L118" s="96"/>
    </row>
    <row r="119" spans="1:12" x14ac:dyDescent="0.25">
      <c r="A119">
        <f t="shared" si="9"/>
        <v>113</v>
      </c>
      <c r="B119" s="96">
        <f t="shared" si="15"/>
        <v>598721.44000287913</v>
      </c>
      <c r="C119" s="96">
        <f t="shared" si="10"/>
        <v>2717.2905870233299</v>
      </c>
      <c r="D119" s="93">
        <f t="shared" si="11"/>
        <v>4742.4060016583608</v>
      </c>
      <c r="E119" s="93">
        <f t="shared" si="8"/>
        <v>7459.6965886816906</v>
      </c>
      <c r="F119" s="93">
        <f>IF(A119="","",B119*Catálogos!$R$1)</f>
        <v>359.23286400172742</v>
      </c>
      <c r="G119" s="93">
        <f>IF(A119="","",IF(B119=0,0,$B$4*Catálogos!$Q$6))</f>
        <v>0</v>
      </c>
      <c r="H119" s="93">
        <f t="shared" si="12"/>
        <v>0</v>
      </c>
      <c r="I119" s="93">
        <f t="shared" si="13"/>
        <v>7818.9294526834183</v>
      </c>
      <c r="J119" s="96">
        <f t="shared" si="14"/>
        <v>7818.9294526834183</v>
      </c>
      <c r="K119" s="96"/>
      <c r="L119" s="96"/>
    </row>
    <row r="120" spans="1:12" x14ac:dyDescent="0.25">
      <c r="A120">
        <f t="shared" si="9"/>
        <v>114</v>
      </c>
      <c r="B120" s="96">
        <f t="shared" si="15"/>
        <v>596004.14941585576</v>
      </c>
      <c r="C120" s="96">
        <f t="shared" si="10"/>
        <v>2738.8139438419657</v>
      </c>
      <c r="D120" s="93">
        <f t="shared" si="11"/>
        <v>4720.8826448397249</v>
      </c>
      <c r="E120" s="93">
        <f t="shared" si="8"/>
        <v>7459.6965886816906</v>
      </c>
      <c r="F120" s="93">
        <f>IF(A120="","",B120*Catálogos!$R$1)</f>
        <v>357.60248964951342</v>
      </c>
      <c r="G120" s="93">
        <f>IF(A120="","",IF(B120=0,0,$B$4*Catálogos!$Q$6))</f>
        <v>0</v>
      </c>
      <c r="H120" s="93">
        <f t="shared" si="12"/>
        <v>0</v>
      </c>
      <c r="I120" s="93">
        <f t="shared" si="13"/>
        <v>7817.2990783312043</v>
      </c>
      <c r="J120" s="96">
        <f t="shared" si="14"/>
        <v>7817.2990783312043</v>
      </c>
      <c r="K120" s="96"/>
      <c r="L120" s="96"/>
    </row>
    <row r="121" spans="1:12" x14ac:dyDescent="0.25">
      <c r="A121">
        <f t="shared" si="9"/>
        <v>115</v>
      </c>
      <c r="B121" s="96">
        <f t="shared" si="15"/>
        <v>593265.3354720138</v>
      </c>
      <c r="C121" s="96">
        <f t="shared" si="10"/>
        <v>2760.5077847784778</v>
      </c>
      <c r="D121" s="93">
        <f t="shared" si="11"/>
        <v>4699.1888039032128</v>
      </c>
      <c r="E121" s="93">
        <f t="shared" si="8"/>
        <v>7459.6965886816906</v>
      </c>
      <c r="F121" s="93">
        <f>IF(A121="","",B121*Catálogos!$R$1)</f>
        <v>355.95920128320824</v>
      </c>
      <c r="G121" s="93">
        <f>IF(A121="","",IF(B121=0,0,$B$4*Catálogos!$Q$6))</f>
        <v>0</v>
      </c>
      <c r="H121" s="93">
        <f t="shared" si="12"/>
        <v>0</v>
      </c>
      <c r="I121" s="93">
        <f t="shared" si="13"/>
        <v>7815.6557899648988</v>
      </c>
      <c r="J121" s="96">
        <f t="shared" si="14"/>
        <v>7815.6557899648988</v>
      </c>
      <c r="K121" s="96"/>
      <c r="L121" s="96"/>
    </row>
    <row r="122" spans="1:12" x14ac:dyDescent="0.25">
      <c r="A122">
        <f t="shared" si="9"/>
        <v>116</v>
      </c>
      <c r="B122" s="96">
        <f t="shared" si="15"/>
        <v>590504.82768723532</v>
      </c>
      <c r="C122" s="96">
        <f t="shared" si="10"/>
        <v>2782.3734602186205</v>
      </c>
      <c r="D122" s="93">
        <f t="shared" si="11"/>
        <v>4677.3231284630701</v>
      </c>
      <c r="E122" s="93">
        <f t="shared" si="8"/>
        <v>7459.6965886816906</v>
      </c>
      <c r="F122" s="93">
        <f>IF(A122="","",B122*Catálogos!$R$1)</f>
        <v>354.30289661234116</v>
      </c>
      <c r="G122" s="93">
        <f>IF(A122="","",IF(B122=0,0,$B$4*Catálogos!$Q$6))</f>
        <v>0</v>
      </c>
      <c r="H122" s="93">
        <f t="shared" si="12"/>
        <v>0</v>
      </c>
      <c r="I122" s="93">
        <f t="shared" si="13"/>
        <v>7813.9994852940317</v>
      </c>
      <c r="J122" s="96">
        <f t="shared" si="14"/>
        <v>7813.9994852940317</v>
      </c>
      <c r="K122" s="96"/>
      <c r="L122" s="96"/>
    </row>
    <row r="123" spans="1:12" x14ac:dyDescent="0.25">
      <c r="A123">
        <f t="shared" si="9"/>
        <v>117</v>
      </c>
      <c r="B123" s="96">
        <f t="shared" si="15"/>
        <v>587722.45422701666</v>
      </c>
      <c r="C123" s="96">
        <f t="shared" si="10"/>
        <v>2804.4123312444062</v>
      </c>
      <c r="D123" s="93">
        <f t="shared" si="11"/>
        <v>4655.2842574372844</v>
      </c>
      <c r="E123" s="93">
        <f t="shared" si="8"/>
        <v>7459.6965886816906</v>
      </c>
      <c r="F123" s="93">
        <f>IF(A123="","",B123*Catálogos!$R$1)</f>
        <v>352.63347253620998</v>
      </c>
      <c r="G123" s="93">
        <f>IF(A123="","",IF(B123=0,0,$B$4*Catálogos!$Q$6))</f>
        <v>0</v>
      </c>
      <c r="H123" s="93">
        <f t="shared" si="12"/>
        <v>0</v>
      </c>
      <c r="I123" s="93">
        <f t="shared" si="13"/>
        <v>7812.3300612179009</v>
      </c>
      <c r="J123" s="96">
        <f t="shared" si="14"/>
        <v>7812.3300612179009</v>
      </c>
      <c r="K123" s="96"/>
      <c r="L123" s="96"/>
    </row>
    <row r="124" spans="1:12" x14ac:dyDescent="0.25">
      <c r="A124">
        <f t="shared" si="9"/>
        <v>118</v>
      </c>
      <c r="B124" s="96">
        <f t="shared" si="15"/>
        <v>584918.04189577221</v>
      </c>
      <c r="C124" s="96">
        <f t="shared" si="10"/>
        <v>2826.625769718823</v>
      </c>
      <c r="D124" s="93">
        <f t="shared" si="11"/>
        <v>4633.0708189628676</v>
      </c>
      <c r="E124" s="93">
        <f t="shared" si="8"/>
        <v>7459.6965886816906</v>
      </c>
      <c r="F124" s="93">
        <f>IF(A124="","",B124*Catálogos!$R$1)</f>
        <v>350.95082513746331</v>
      </c>
      <c r="G124" s="93">
        <f>IF(A124="","",IF(B124=0,0,$B$4*Catálogos!$Q$6))</f>
        <v>0</v>
      </c>
      <c r="H124" s="93">
        <f t="shared" si="12"/>
        <v>0</v>
      </c>
      <c r="I124" s="93">
        <f t="shared" si="13"/>
        <v>7810.6474138191543</v>
      </c>
      <c r="J124" s="96">
        <f t="shared" si="14"/>
        <v>7810.6474138191543</v>
      </c>
      <c r="K124" s="96"/>
      <c r="L124" s="96"/>
    </row>
    <row r="125" spans="1:12" x14ac:dyDescent="0.25">
      <c r="A125">
        <f t="shared" si="9"/>
        <v>119</v>
      </c>
      <c r="B125" s="96">
        <f t="shared" si="15"/>
        <v>582091.41612605343</v>
      </c>
      <c r="C125" s="96">
        <f t="shared" si="10"/>
        <v>2849.0151583712359</v>
      </c>
      <c r="D125" s="93">
        <f t="shared" si="11"/>
        <v>4610.6814303104547</v>
      </c>
      <c r="E125" s="93">
        <f t="shared" si="8"/>
        <v>7459.6965886816906</v>
      </c>
      <c r="F125" s="93">
        <f>IF(A125="","",B125*Catálogos!$R$1)</f>
        <v>349.25484967563204</v>
      </c>
      <c r="G125" s="93">
        <f>IF(A125="","",IF(B125=0,0,$B$4*Catálogos!$Q$6))</f>
        <v>0</v>
      </c>
      <c r="H125" s="93">
        <f t="shared" si="12"/>
        <v>0</v>
      </c>
      <c r="I125" s="93">
        <f t="shared" si="13"/>
        <v>7808.9514383573223</v>
      </c>
      <c r="J125" s="96">
        <f t="shared" si="14"/>
        <v>7808.9514383573223</v>
      </c>
      <c r="K125" s="96"/>
      <c r="L125" s="96"/>
    </row>
    <row r="126" spans="1:12" x14ac:dyDescent="0.25">
      <c r="A126">
        <f t="shared" si="9"/>
        <v>120</v>
      </c>
      <c r="B126" s="96">
        <f t="shared" si="15"/>
        <v>579242.40096768225</v>
      </c>
      <c r="C126" s="96">
        <f t="shared" si="10"/>
        <v>2871.5818908834535</v>
      </c>
      <c r="D126" s="93">
        <f t="shared" si="11"/>
        <v>4588.1146977982371</v>
      </c>
      <c r="E126" s="93">
        <f t="shared" si="8"/>
        <v>7459.6965886816906</v>
      </c>
      <c r="F126" s="93">
        <f>IF(A126="","",B126*Catálogos!$R$1)</f>
        <v>347.5454405806093</v>
      </c>
      <c r="G126" s="93">
        <f>IF(A126="","",IF(B126=0,0,$B$4*Catálogos!$Q$6))</f>
        <v>0</v>
      </c>
      <c r="H126" s="93">
        <f t="shared" si="12"/>
        <v>0</v>
      </c>
      <c r="I126" s="93">
        <f t="shared" si="13"/>
        <v>7807.2420292623001</v>
      </c>
      <c r="J126" s="96">
        <f t="shared" si="14"/>
        <v>7807.2420292623001</v>
      </c>
      <c r="K126" s="96"/>
      <c r="L126" s="96"/>
    </row>
    <row r="127" spans="1:12" x14ac:dyDescent="0.25">
      <c r="A127">
        <f t="shared" si="9"/>
        <v>121</v>
      </c>
      <c r="B127" s="96">
        <f t="shared" si="15"/>
        <v>576370.81907679874</v>
      </c>
      <c r="C127" s="96">
        <f t="shared" si="10"/>
        <v>2894.3273719764875</v>
      </c>
      <c r="D127" s="93">
        <f t="shared" si="11"/>
        <v>4565.3692167052031</v>
      </c>
      <c r="E127" s="93">
        <f t="shared" si="8"/>
        <v>7459.6965886816906</v>
      </c>
      <c r="F127" s="93">
        <f>IF(A127="","",B127*Catálogos!$R$1)</f>
        <v>345.8224914460792</v>
      </c>
      <c r="G127" s="93">
        <f>IF(A127="","",IF(B127=0,0,$B$4*Catálogos!$Q$6))</f>
        <v>0</v>
      </c>
      <c r="H127" s="93">
        <f t="shared" si="12"/>
        <v>0</v>
      </c>
      <c r="I127" s="93">
        <f t="shared" si="13"/>
        <v>7805.5190801277695</v>
      </c>
      <c r="J127" s="96">
        <f t="shared" si="14"/>
        <v>7805.5190801277695</v>
      </c>
      <c r="K127" s="96"/>
      <c r="L127" s="96"/>
    </row>
    <row r="128" spans="1:12" x14ac:dyDescent="0.25">
      <c r="A128">
        <f t="shared" si="9"/>
        <v>122</v>
      </c>
      <c r="B128" s="96">
        <f t="shared" si="15"/>
        <v>573476.49170482229</v>
      </c>
      <c r="C128" s="96">
        <f t="shared" si="10"/>
        <v>2917.2530174979829</v>
      </c>
      <c r="D128" s="93">
        <f t="shared" si="11"/>
        <v>4542.4435711837077</v>
      </c>
      <c r="E128" s="93">
        <f t="shared" si="8"/>
        <v>7459.6965886816906</v>
      </c>
      <c r="F128" s="93">
        <f>IF(A128="","",B128*Catálogos!$R$1)</f>
        <v>344.08589502289334</v>
      </c>
      <c r="G128" s="93">
        <f>IF(A128="","",IF(B128=0,0,$B$4*Catálogos!$Q$6))</f>
        <v>0</v>
      </c>
      <c r="H128" s="93">
        <f t="shared" si="12"/>
        <v>0</v>
      </c>
      <c r="I128" s="93">
        <f t="shared" si="13"/>
        <v>7803.7824837045837</v>
      </c>
      <c r="J128" s="96">
        <f t="shared" si="14"/>
        <v>7803.7824837045837</v>
      </c>
      <c r="K128" s="96"/>
      <c r="L128" s="96"/>
    </row>
    <row r="129" spans="1:12" x14ac:dyDescent="0.25">
      <c r="A129">
        <f t="shared" si="9"/>
        <v>123</v>
      </c>
      <c r="B129" s="96">
        <f t="shared" si="15"/>
        <v>570559.23868732434</v>
      </c>
      <c r="C129" s="96">
        <f t="shared" si="10"/>
        <v>2940.3602545103595</v>
      </c>
      <c r="D129" s="93">
        <f t="shared" si="11"/>
        <v>4519.3363341713311</v>
      </c>
      <c r="E129" s="93">
        <f t="shared" si="8"/>
        <v>7459.6965886816906</v>
      </c>
      <c r="F129" s="93">
        <f>IF(A129="","",B129*Catálogos!$R$1)</f>
        <v>342.33554321239455</v>
      </c>
      <c r="G129" s="93">
        <f>IF(A129="","",IF(B129=0,0,$B$4*Catálogos!$Q$6))</f>
        <v>0</v>
      </c>
      <c r="H129" s="93">
        <f t="shared" si="12"/>
        <v>0</v>
      </c>
      <c r="I129" s="93">
        <f t="shared" si="13"/>
        <v>7802.0321318940851</v>
      </c>
      <c r="J129" s="96">
        <f t="shared" si="14"/>
        <v>7802.0321318940851</v>
      </c>
      <c r="K129" s="96"/>
      <c r="L129" s="96"/>
    </row>
    <row r="130" spans="1:12" x14ac:dyDescent="0.25">
      <c r="A130">
        <f t="shared" si="9"/>
        <v>124</v>
      </c>
      <c r="B130" s="96">
        <f t="shared" si="15"/>
        <v>567618.87843281403</v>
      </c>
      <c r="C130" s="96">
        <f t="shared" si="10"/>
        <v>2963.6505213796408</v>
      </c>
      <c r="D130" s="93">
        <f t="shared" si="11"/>
        <v>4496.0460673020498</v>
      </c>
      <c r="E130" s="93">
        <f t="shared" si="8"/>
        <v>7459.6965886816906</v>
      </c>
      <c r="F130" s="93">
        <f>IF(A130="","",B130*Catálogos!$R$1)</f>
        <v>340.57132705968837</v>
      </c>
      <c r="G130" s="93">
        <f>IF(A130="","",IF(B130=0,0,$B$4*Catálogos!$Q$6))</f>
        <v>0</v>
      </c>
      <c r="H130" s="93">
        <f t="shared" si="12"/>
        <v>0</v>
      </c>
      <c r="I130" s="93">
        <f t="shared" si="13"/>
        <v>7800.2679157413786</v>
      </c>
      <c r="J130" s="96">
        <f t="shared" si="14"/>
        <v>7800.2679157413786</v>
      </c>
      <c r="K130" s="96"/>
      <c r="L130" s="96"/>
    </row>
    <row r="131" spans="1:12" x14ac:dyDescent="0.25">
      <c r="A131">
        <f t="shared" si="9"/>
        <v>125</v>
      </c>
      <c r="B131" s="96">
        <f t="shared" si="15"/>
        <v>564655.22791143437</v>
      </c>
      <c r="C131" s="96">
        <f t="shared" si="10"/>
        <v>2987.1252678649871</v>
      </c>
      <c r="D131" s="93">
        <f t="shared" si="11"/>
        <v>4472.5713208167035</v>
      </c>
      <c r="E131" s="93">
        <f t="shared" si="8"/>
        <v>7459.6965886816906</v>
      </c>
      <c r="F131" s="93">
        <f>IF(A131="","",B131*Catálogos!$R$1)</f>
        <v>338.79313674686057</v>
      </c>
      <c r="G131" s="93">
        <f>IF(A131="","",IF(B131=0,0,$B$4*Catálogos!$Q$6))</f>
        <v>0</v>
      </c>
      <c r="H131" s="93">
        <f t="shared" si="12"/>
        <v>0</v>
      </c>
      <c r="I131" s="93">
        <f t="shared" si="13"/>
        <v>7798.4897254285515</v>
      </c>
      <c r="J131" s="96">
        <f t="shared" si="14"/>
        <v>7798.4897254285515</v>
      </c>
      <c r="K131" s="96"/>
      <c r="L131" s="96"/>
    </row>
    <row r="132" spans="1:12" x14ac:dyDescent="0.25">
      <c r="A132">
        <f t="shared" si="9"/>
        <v>126</v>
      </c>
      <c r="B132" s="96">
        <f t="shared" si="15"/>
        <v>561668.10264356935</v>
      </c>
      <c r="C132" s="96">
        <f t="shared" si="10"/>
        <v>3010.7859552089385</v>
      </c>
      <c r="D132" s="93">
        <f t="shared" si="11"/>
        <v>4448.9106334727521</v>
      </c>
      <c r="E132" s="93">
        <f t="shared" si="8"/>
        <v>7459.6965886816906</v>
      </c>
      <c r="F132" s="93">
        <f>IF(A132="","",B132*Catálogos!$R$1)</f>
        <v>337.00086158614158</v>
      </c>
      <c r="G132" s="93">
        <f>IF(A132="","",IF(B132=0,0,$B$4*Catálogos!$Q$6))</f>
        <v>0</v>
      </c>
      <c r="H132" s="93">
        <f t="shared" si="12"/>
        <v>0</v>
      </c>
      <c r="I132" s="93">
        <f t="shared" si="13"/>
        <v>7796.6974502678322</v>
      </c>
      <c r="J132" s="96">
        <f t="shared" si="14"/>
        <v>7796.6974502678322</v>
      </c>
      <c r="K132" s="96"/>
      <c r="L132" s="96"/>
    </row>
    <row r="133" spans="1:12" x14ac:dyDescent="0.25">
      <c r="A133">
        <f t="shared" si="9"/>
        <v>127</v>
      </c>
      <c r="B133" s="96">
        <f t="shared" si="15"/>
        <v>558657.31668836041</v>
      </c>
      <c r="C133" s="96">
        <f t="shared" si="10"/>
        <v>3034.6340562283758</v>
      </c>
      <c r="D133" s="93">
        <f t="shared" si="11"/>
        <v>4425.0625324533148</v>
      </c>
      <c r="E133" s="93">
        <f t="shared" si="8"/>
        <v>7459.6965886816906</v>
      </c>
      <c r="F133" s="93">
        <f>IF(A133="","",B133*Catálogos!$R$1)</f>
        <v>335.19439001301623</v>
      </c>
      <c r="G133" s="93">
        <f>IF(A133="","",IF(B133=0,0,$B$4*Catálogos!$Q$6))</f>
        <v>0</v>
      </c>
      <c r="H133" s="93">
        <f t="shared" si="12"/>
        <v>0</v>
      </c>
      <c r="I133" s="93">
        <f t="shared" si="13"/>
        <v>7794.890978694707</v>
      </c>
      <c r="J133" s="96">
        <f t="shared" si="14"/>
        <v>7794.890978694707</v>
      </c>
      <c r="K133" s="96"/>
      <c r="L133" s="96"/>
    </row>
    <row r="134" spans="1:12" x14ac:dyDescent="0.25">
      <c r="A134">
        <f t="shared" si="9"/>
        <v>128</v>
      </c>
      <c r="B134" s="96">
        <f t="shared" si="15"/>
        <v>555622.68263213208</v>
      </c>
      <c r="C134" s="96">
        <f t="shared" si="10"/>
        <v>3058.6710554061983</v>
      </c>
      <c r="D134" s="93">
        <f t="shared" si="11"/>
        <v>4401.0255332754923</v>
      </c>
      <c r="E134" s="93">
        <f t="shared" si="8"/>
        <v>7459.6965886816906</v>
      </c>
      <c r="F134" s="93">
        <f>IF(A134="","",B134*Catálogos!$R$1)</f>
        <v>333.37360957927922</v>
      </c>
      <c r="G134" s="93">
        <f>IF(A134="","",IF(B134=0,0,$B$4*Catálogos!$Q$6))</f>
        <v>0</v>
      </c>
      <c r="H134" s="93">
        <f t="shared" si="12"/>
        <v>0</v>
      </c>
      <c r="I134" s="93">
        <f t="shared" si="13"/>
        <v>7793.0701982609698</v>
      </c>
      <c r="J134" s="96">
        <f t="shared" si="14"/>
        <v>7793.0701982609698</v>
      </c>
      <c r="K134" s="96"/>
      <c r="L134" s="96"/>
    </row>
    <row r="135" spans="1:12" x14ac:dyDescent="0.25">
      <c r="A135">
        <f t="shared" si="9"/>
        <v>129</v>
      </c>
      <c r="B135" s="96">
        <f t="shared" si="15"/>
        <v>552564.01157672587</v>
      </c>
      <c r="C135" s="96">
        <f t="shared" si="10"/>
        <v>3082.8984489837312</v>
      </c>
      <c r="D135" s="93">
        <f t="shared" si="11"/>
        <v>4376.7981396979594</v>
      </c>
      <c r="E135" s="93">
        <f t="shared" ref="E135:E198" si="16">IF(A135="","",PMT($B$2/360*30.4,$B$1,-$B$3))</f>
        <v>7459.6965886816906</v>
      </c>
      <c r="F135" s="93">
        <f>IF(A135="","",B135*Catálogos!$R$1)</f>
        <v>331.53840694603548</v>
      </c>
      <c r="G135" s="93">
        <f>IF(A135="","",IF(B135=0,0,$B$4*Catálogos!$Q$6))</f>
        <v>0</v>
      </c>
      <c r="H135" s="93">
        <f t="shared" si="12"/>
        <v>0</v>
      </c>
      <c r="I135" s="93">
        <f t="shared" si="13"/>
        <v>7791.2349956277258</v>
      </c>
      <c r="J135" s="96">
        <f t="shared" si="14"/>
        <v>7791.2349956277258</v>
      </c>
      <c r="K135" s="96"/>
      <c r="L135" s="96"/>
    </row>
    <row r="136" spans="1:12" x14ac:dyDescent="0.25">
      <c r="A136">
        <f t="shared" ref="A136:A199" si="17">IF(A135=$B$1,"",IF(A135="","",A135+1))</f>
        <v>130</v>
      </c>
      <c r="B136" s="96">
        <f t="shared" si="15"/>
        <v>549481.1131277422</v>
      </c>
      <c r="C136" s="96">
        <f t="shared" ref="C136:C199" si="18">IF(A136="","",E136-D136)</f>
        <v>3107.3177450538587</v>
      </c>
      <c r="D136" s="93">
        <f t="shared" ref="D136:D199" si="19">IF(A136="","",($B$2/360*30.4)*B136)</f>
        <v>4352.3788436278319</v>
      </c>
      <c r="E136" s="93">
        <f t="shared" si="16"/>
        <v>7459.6965886816906</v>
      </c>
      <c r="F136" s="93">
        <f>IF(A136="","",B136*Catálogos!$R$1)</f>
        <v>329.6886678766453</v>
      </c>
      <c r="G136" s="93">
        <f>IF(A136="","",IF(B136=0,0,$B$4*Catálogos!$Q$6))</f>
        <v>0</v>
      </c>
      <c r="H136" s="93">
        <f t="shared" ref="H136:H199" si="20">IF(A136="","",IF($G$2=1,299,0))</f>
        <v>0</v>
      </c>
      <c r="I136" s="93">
        <f t="shared" ref="I136:I199" si="21">IF(A136="","",SUM(E136:H136))</f>
        <v>7789.3852565583356</v>
      </c>
      <c r="J136" s="96">
        <f t="shared" ref="J136:J199" si="22">I136</f>
        <v>7789.3852565583356</v>
      </c>
      <c r="K136" s="96"/>
      <c r="L136" s="96"/>
    </row>
    <row r="137" spans="1:12" x14ac:dyDescent="0.25">
      <c r="A137">
        <f t="shared" si="17"/>
        <v>131</v>
      </c>
      <c r="B137" s="96">
        <f t="shared" ref="B137:B200" si="23">IF(A137="","",B136-C136)</f>
        <v>546373.79538268829</v>
      </c>
      <c r="C137" s="96">
        <f t="shared" si="18"/>
        <v>3131.9304636549041</v>
      </c>
      <c r="D137" s="93">
        <f t="shared" si="19"/>
        <v>4327.7661250267865</v>
      </c>
      <c r="E137" s="93">
        <f t="shared" si="16"/>
        <v>7459.6965886816906</v>
      </c>
      <c r="F137" s="93">
        <f>IF(A137="","",B137*Catálogos!$R$1)</f>
        <v>327.82427722961296</v>
      </c>
      <c r="G137" s="93">
        <f>IF(A137="","",IF(B137=0,0,$B$4*Catálogos!$Q$6))</f>
        <v>0</v>
      </c>
      <c r="H137" s="93">
        <f t="shared" si="20"/>
        <v>0</v>
      </c>
      <c r="I137" s="93">
        <f t="shared" si="21"/>
        <v>7787.5208659113032</v>
      </c>
      <c r="J137" s="96">
        <f t="shared" si="22"/>
        <v>7787.5208659113032</v>
      </c>
      <c r="K137" s="96"/>
      <c r="L137" s="96"/>
    </row>
    <row r="138" spans="1:12" x14ac:dyDescent="0.25">
      <c r="A138">
        <f t="shared" si="17"/>
        <v>132</v>
      </c>
      <c r="B138" s="96">
        <f t="shared" si="23"/>
        <v>543241.86491903337</v>
      </c>
      <c r="C138" s="96">
        <f t="shared" si="18"/>
        <v>3156.7381368652404</v>
      </c>
      <c r="D138" s="93">
        <f t="shared" si="19"/>
        <v>4302.9584518164502</v>
      </c>
      <c r="E138" s="93">
        <f t="shared" si="16"/>
        <v>7459.6965886816906</v>
      </c>
      <c r="F138" s="93">
        <f>IF(A138="","",B138*Catálogos!$R$1)</f>
        <v>325.94511895142</v>
      </c>
      <c r="G138" s="93">
        <f>IF(A138="","",IF(B138=0,0,$B$4*Catálogos!$Q$6))</f>
        <v>0</v>
      </c>
      <c r="H138" s="93">
        <f t="shared" si="20"/>
        <v>0</v>
      </c>
      <c r="I138" s="93">
        <f t="shared" si="21"/>
        <v>7785.6417076331109</v>
      </c>
      <c r="J138" s="96">
        <f t="shared" si="22"/>
        <v>7785.6417076331109</v>
      </c>
      <c r="K138" s="96"/>
      <c r="L138" s="96"/>
    </row>
    <row r="139" spans="1:12" x14ac:dyDescent="0.25">
      <c r="A139">
        <f t="shared" si="17"/>
        <v>133</v>
      </c>
      <c r="B139" s="96">
        <f t="shared" si="23"/>
        <v>540085.12678216817</v>
      </c>
      <c r="C139" s="96">
        <f t="shared" si="18"/>
        <v>3181.7423088986679</v>
      </c>
      <c r="D139" s="93">
        <f t="shared" si="19"/>
        <v>4277.9542797830227</v>
      </c>
      <c r="E139" s="93">
        <f t="shared" si="16"/>
        <v>7459.6965886816906</v>
      </c>
      <c r="F139" s="93">
        <f>IF(A139="","",B139*Catálogos!$R$1)</f>
        <v>324.05107606930085</v>
      </c>
      <c r="G139" s="93">
        <f>IF(A139="","",IF(B139=0,0,$B$4*Catálogos!$Q$6))</f>
        <v>0</v>
      </c>
      <c r="H139" s="93">
        <f t="shared" si="20"/>
        <v>0</v>
      </c>
      <c r="I139" s="93">
        <f t="shared" si="21"/>
        <v>7783.7476647509911</v>
      </c>
      <c r="J139" s="96">
        <f t="shared" si="22"/>
        <v>7783.7476647509911</v>
      </c>
      <c r="K139" s="96"/>
      <c r="L139" s="96"/>
    </row>
    <row r="140" spans="1:12" x14ac:dyDescent="0.25">
      <c r="A140">
        <f t="shared" si="17"/>
        <v>134</v>
      </c>
      <c r="B140" s="96">
        <f t="shared" si="23"/>
        <v>536903.38447326946</v>
      </c>
      <c r="C140" s="96">
        <f t="shared" si="18"/>
        <v>3206.9445362005317</v>
      </c>
      <c r="D140" s="93">
        <f t="shared" si="19"/>
        <v>4252.7520524811589</v>
      </c>
      <c r="E140" s="93">
        <f t="shared" si="16"/>
        <v>7459.6965886816906</v>
      </c>
      <c r="F140" s="93">
        <f>IF(A140="","",B140*Catálogos!$R$1)</f>
        <v>322.14203068396165</v>
      </c>
      <c r="G140" s="93">
        <f>IF(A140="","",IF(B140=0,0,$B$4*Catálogos!$Q$6))</f>
        <v>0</v>
      </c>
      <c r="H140" s="93">
        <f t="shared" si="20"/>
        <v>0</v>
      </c>
      <c r="I140" s="93">
        <f t="shared" si="21"/>
        <v>7781.8386193656524</v>
      </c>
      <c r="J140" s="96">
        <f t="shared" si="22"/>
        <v>7781.8386193656524</v>
      </c>
      <c r="K140" s="96"/>
      <c r="L140" s="96"/>
    </row>
    <row r="141" spans="1:12" x14ac:dyDescent="0.25">
      <c r="A141">
        <f t="shared" si="17"/>
        <v>135</v>
      </c>
      <c r="B141" s="96">
        <f t="shared" si="23"/>
        <v>533696.43993706896</v>
      </c>
      <c r="C141" s="96">
        <f t="shared" si="18"/>
        <v>3232.346387544605</v>
      </c>
      <c r="D141" s="93">
        <f t="shared" si="19"/>
        <v>4227.3502011370856</v>
      </c>
      <c r="E141" s="93">
        <f t="shared" si="16"/>
        <v>7459.6965886816906</v>
      </c>
      <c r="F141" s="93">
        <f>IF(A141="","",B141*Catálogos!$R$1)</f>
        <v>320.21786396224132</v>
      </c>
      <c r="G141" s="93">
        <f>IF(A141="","",IF(B141=0,0,$B$4*Catálogos!$Q$6))</f>
        <v>0</v>
      </c>
      <c r="H141" s="93">
        <f t="shared" si="20"/>
        <v>0</v>
      </c>
      <c r="I141" s="93">
        <f t="shared" si="21"/>
        <v>7779.9144526439322</v>
      </c>
      <c r="J141" s="96">
        <f t="shared" si="22"/>
        <v>7779.9144526439322</v>
      </c>
      <c r="K141" s="96"/>
      <c r="L141" s="96"/>
    </row>
    <row r="142" spans="1:12" x14ac:dyDescent="0.25">
      <c r="A142">
        <f t="shared" si="17"/>
        <v>136</v>
      </c>
      <c r="B142" s="96">
        <f t="shared" si="23"/>
        <v>530464.09354952432</v>
      </c>
      <c r="C142" s="96">
        <f t="shared" si="18"/>
        <v>3257.949444130747</v>
      </c>
      <c r="D142" s="93">
        <f t="shared" si="19"/>
        <v>4201.7471445509436</v>
      </c>
      <c r="E142" s="93">
        <f t="shared" si="16"/>
        <v>7459.6965886816906</v>
      </c>
      <c r="F142" s="93">
        <f>IF(A142="","",B142*Catálogos!$R$1)</f>
        <v>318.27845612971458</v>
      </c>
      <c r="G142" s="93">
        <f>IF(A142="","",IF(B142=0,0,$B$4*Catálogos!$Q$6))</f>
        <v>0</v>
      </c>
      <c r="H142" s="93">
        <f t="shared" si="20"/>
        <v>0</v>
      </c>
      <c r="I142" s="93">
        <f t="shared" si="21"/>
        <v>7777.9750448114055</v>
      </c>
      <c r="J142" s="96">
        <f t="shared" si="22"/>
        <v>7777.9750448114055</v>
      </c>
      <c r="K142" s="96"/>
      <c r="L142" s="96"/>
    </row>
    <row r="143" spans="1:12" x14ac:dyDescent="0.25">
      <c r="A143">
        <f t="shared" si="17"/>
        <v>137</v>
      </c>
      <c r="B143" s="96">
        <f t="shared" si="23"/>
        <v>527206.14410539356</v>
      </c>
      <c r="C143" s="96">
        <f t="shared" si="18"/>
        <v>3283.7552996833247</v>
      </c>
      <c r="D143" s="93">
        <f t="shared" si="19"/>
        <v>4175.941288998366</v>
      </c>
      <c r="E143" s="93">
        <f t="shared" si="16"/>
        <v>7459.6965886816906</v>
      </c>
      <c r="F143" s="93">
        <f>IF(A143="","",B143*Catálogos!$R$1)</f>
        <v>316.32368646323613</v>
      </c>
      <c r="G143" s="93">
        <f>IF(A143="","",IF(B143=0,0,$B$4*Catálogos!$Q$6))</f>
        <v>0</v>
      </c>
      <c r="H143" s="93">
        <f t="shared" si="20"/>
        <v>0</v>
      </c>
      <c r="I143" s="93">
        <f t="shared" si="21"/>
        <v>7776.0202751449269</v>
      </c>
      <c r="J143" s="96">
        <f t="shared" si="22"/>
        <v>7776.0202751449269</v>
      </c>
      <c r="K143" s="96"/>
      <c r="L143" s="96"/>
    </row>
    <row r="144" spans="1:12" x14ac:dyDescent="0.25">
      <c r="A144">
        <f t="shared" si="17"/>
        <v>138</v>
      </c>
      <c r="B144" s="96">
        <f t="shared" si="23"/>
        <v>523922.38880571024</v>
      </c>
      <c r="C144" s="96">
        <f t="shared" si="18"/>
        <v>3309.765560550416</v>
      </c>
      <c r="D144" s="93">
        <f t="shared" si="19"/>
        <v>4149.9310281312746</v>
      </c>
      <c r="E144" s="93">
        <f t="shared" si="16"/>
        <v>7459.6965886816906</v>
      </c>
      <c r="F144" s="93">
        <f>IF(A144="","",B144*Catálogos!$R$1)</f>
        <v>314.35343328342611</v>
      </c>
      <c r="G144" s="93">
        <f>IF(A144="","",IF(B144=0,0,$B$4*Catálogos!$Q$6))</f>
        <v>0</v>
      </c>
      <c r="H144" s="93">
        <f t="shared" si="20"/>
        <v>0</v>
      </c>
      <c r="I144" s="93">
        <f t="shared" si="21"/>
        <v>7774.0500219651167</v>
      </c>
      <c r="J144" s="96">
        <f t="shared" si="22"/>
        <v>7774.0500219651167</v>
      </c>
      <c r="K144" s="96"/>
      <c r="L144" s="96"/>
    </row>
    <row r="145" spans="1:12" x14ac:dyDescent="0.25">
      <c r="A145">
        <f t="shared" si="17"/>
        <v>139</v>
      </c>
      <c r="B145" s="96">
        <f t="shared" si="23"/>
        <v>520612.6232451598</v>
      </c>
      <c r="C145" s="96">
        <f t="shared" si="18"/>
        <v>3335.9818458038071</v>
      </c>
      <c r="D145" s="93">
        <f t="shared" si="19"/>
        <v>4123.7147428778835</v>
      </c>
      <c r="E145" s="93">
        <f t="shared" si="16"/>
        <v>7459.6965886816906</v>
      </c>
      <c r="F145" s="93">
        <f>IF(A145="","",B145*Catálogos!$R$1)</f>
        <v>312.36757394709588</v>
      </c>
      <c r="G145" s="93">
        <f>IF(A145="","",IF(B145=0,0,$B$4*Catálogos!$Q$6))</f>
        <v>0</v>
      </c>
      <c r="H145" s="93">
        <f t="shared" si="20"/>
        <v>0</v>
      </c>
      <c r="I145" s="93">
        <f t="shared" si="21"/>
        <v>7772.0641626287861</v>
      </c>
      <c r="J145" s="96">
        <f t="shared" si="22"/>
        <v>7772.0641626287861</v>
      </c>
      <c r="K145" s="96"/>
      <c r="L145" s="96"/>
    </row>
    <row r="146" spans="1:12" x14ac:dyDescent="0.25">
      <c r="A146">
        <f t="shared" si="17"/>
        <v>140</v>
      </c>
      <c r="B146" s="96">
        <f t="shared" si="23"/>
        <v>517276.64139935601</v>
      </c>
      <c r="C146" s="96">
        <f t="shared" si="18"/>
        <v>3362.4057873397696</v>
      </c>
      <c r="D146" s="93">
        <f t="shared" si="19"/>
        <v>4097.290801341921</v>
      </c>
      <c r="E146" s="93">
        <f t="shared" si="16"/>
        <v>7459.6965886816906</v>
      </c>
      <c r="F146" s="93">
        <f>IF(A146="","",B146*Catálogos!$R$1)</f>
        <v>310.36598483961359</v>
      </c>
      <c r="G146" s="93">
        <f>IF(A146="","",IF(B146=0,0,$B$4*Catálogos!$Q$6))</f>
        <v>0</v>
      </c>
      <c r="H146" s="93">
        <f t="shared" si="20"/>
        <v>0</v>
      </c>
      <c r="I146" s="93">
        <f t="shared" si="21"/>
        <v>7770.0625735213043</v>
      </c>
      <c r="J146" s="96">
        <f t="shared" si="22"/>
        <v>7770.0625735213043</v>
      </c>
      <c r="K146" s="96"/>
      <c r="L146" s="96"/>
    </row>
    <row r="147" spans="1:12" x14ac:dyDescent="0.25">
      <c r="A147">
        <f t="shared" si="17"/>
        <v>141</v>
      </c>
      <c r="B147" s="96">
        <f t="shared" si="23"/>
        <v>513914.23561201623</v>
      </c>
      <c r="C147" s="96">
        <f t="shared" si="18"/>
        <v>3389.039029980645</v>
      </c>
      <c r="D147" s="93">
        <f t="shared" si="19"/>
        <v>4070.6575587010457</v>
      </c>
      <c r="E147" s="93">
        <f t="shared" si="16"/>
        <v>7459.6965886816906</v>
      </c>
      <c r="F147" s="93">
        <f>IF(A147="","",B147*Catálogos!$R$1)</f>
        <v>308.34854136720969</v>
      </c>
      <c r="G147" s="93">
        <f>IF(A147="","",IF(B147=0,0,$B$4*Catálogos!$Q$6))</f>
        <v>0</v>
      </c>
      <c r="H147" s="93">
        <f t="shared" si="20"/>
        <v>0</v>
      </c>
      <c r="I147" s="93">
        <f t="shared" si="21"/>
        <v>7768.0451300489003</v>
      </c>
      <c r="J147" s="96">
        <f t="shared" si="22"/>
        <v>7768.0451300489003</v>
      </c>
      <c r="K147" s="96"/>
      <c r="L147" s="96"/>
    </row>
    <row r="148" spans="1:12" x14ac:dyDescent="0.25">
      <c r="A148">
        <f t="shared" si="17"/>
        <v>142</v>
      </c>
      <c r="B148" s="96">
        <f t="shared" si="23"/>
        <v>510525.19658203557</v>
      </c>
      <c r="C148" s="96">
        <f t="shared" si="18"/>
        <v>3415.8832315772293</v>
      </c>
      <c r="D148" s="93">
        <f t="shared" si="19"/>
        <v>4043.8133571044614</v>
      </c>
      <c r="E148" s="93">
        <f t="shared" si="16"/>
        <v>7459.6965886816906</v>
      </c>
      <c r="F148" s="93">
        <f>IF(A148="","",B148*Catálogos!$R$1)</f>
        <v>306.3151179492213</v>
      </c>
      <c r="G148" s="93">
        <f>IF(A148="","",IF(B148=0,0,$B$4*Catálogos!$Q$6))</f>
        <v>0</v>
      </c>
      <c r="H148" s="93">
        <f t="shared" si="20"/>
        <v>0</v>
      </c>
      <c r="I148" s="93">
        <f t="shared" si="21"/>
        <v>7766.0117066309122</v>
      </c>
      <c r="J148" s="96">
        <f t="shared" si="22"/>
        <v>7766.0117066309122</v>
      </c>
      <c r="K148" s="96"/>
      <c r="L148" s="96"/>
    </row>
    <row r="149" spans="1:12" x14ac:dyDescent="0.25">
      <c r="A149">
        <f t="shared" si="17"/>
        <v>143</v>
      </c>
      <c r="B149" s="96">
        <f t="shared" si="23"/>
        <v>507109.31335045834</v>
      </c>
      <c r="C149" s="96">
        <f t="shared" si="18"/>
        <v>3442.9400631119715</v>
      </c>
      <c r="D149" s="93">
        <f t="shared" si="19"/>
        <v>4016.7565255697191</v>
      </c>
      <c r="E149" s="93">
        <f t="shared" si="16"/>
        <v>7459.6965886816906</v>
      </c>
      <c r="F149" s="93">
        <f>IF(A149="","",B149*Catálogos!$R$1)</f>
        <v>304.265588010275</v>
      </c>
      <c r="G149" s="93">
        <f>IF(A149="","",IF(B149=0,0,$B$4*Catálogos!$Q$6))</f>
        <v>0</v>
      </c>
      <c r="H149" s="93">
        <f t="shared" si="20"/>
        <v>0</v>
      </c>
      <c r="I149" s="93">
        <f t="shared" si="21"/>
        <v>7763.9621766919654</v>
      </c>
      <c r="J149" s="96">
        <f t="shared" si="22"/>
        <v>7763.9621766919654</v>
      </c>
      <c r="K149" s="96"/>
      <c r="L149" s="96"/>
    </row>
    <row r="150" spans="1:12" x14ac:dyDescent="0.25">
      <c r="A150">
        <f t="shared" si="17"/>
        <v>144</v>
      </c>
      <c r="B150" s="96">
        <f t="shared" si="23"/>
        <v>503666.37328734639</v>
      </c>
      <c r="C150" s="96">
        <f t="shared" si="18"/>
        <v>3470.2112088029853</v>
      </c>
      <c r="D150" s="93">
        <f t="shared" si="19"/>
        <v>3989.4853798787053</v>
      </c>
      <c r="E150" s="93">
        <f t="shared" si="16"/>
        <v>7459.6965886816906</v>
      </c>
      <c r="F150" s="93">
        <f>IF(A150="","",B150*Catálogos!$R$1)</f>
        <v>302.19982397240778</v>
      </c>
      <c r="G150" s="93">
        <f>IF(A150="","",IF(B150=0,0,$B$4*Catálogos!$Q$6))</f>
        <v>0</v>
      </c>
      <c r="H150" s="93">
        <f t="shared" si="20"/>
        <v>0</v>
      </c>
      <c r="I150" s="93">
        <f t="shared" si="21"/>
        <v>7761.8964126540986</v>
      </c>
      <c r="J150" s="96">
        <f t="shared" si="22"/>
        <v>7761.8964126540986</v>
      </c>
      <c r="K150" s="96"/>
      <c r="L150" s="96"/>
    </row>
    <row r="151" spans="1:12" x14ac:dyDescent="0.25">
      <c r="A151">
        <f t="shared" si="17"/>
        <v>145</v>
      </c>
      <c r="B151" s="96">
        <f t="shared" si="23"/>
        <v>500196.16207854339</v>
      </c>
      <c r="C151" s="96">
        <f t="shared" si="18"/>
        <v>3497.6983662088905</v>
      </c>
      <c r="D151" s="93">
        <f t="shared" si="19"/>
        <v>3961.9982224728001</v>
      </c>
      <c r="E151" s="93">
        <f t="shared" si="16"/>
        <v>7459.6965886816906</v>
      </c>
      <c r="F151" s="93">
        <f>IF(A151="","",B151*Catálogos!$R$1)</f>
        <v>300.11769724712599</v>
      </c>
      <c r="G151" s="93">
        <f>IF(A151="","",IF(B151=0,0,$B$4*Catálogos!$Q$6))</f>
        <v>0</v>
      </c>
      <c r="H151" s="93">
        <f t="shared" si="20"/>
        <v>0</v>
      </c>
      <c r="I151" s="93">
        <f t="shared" si="21"/>
        <v>7759.8142859288164</v>
      </c>
      <c r="J151" s="96">
        <f t="shared" si="22"/>
        <v>7759.8142859288164</v>
      </c>
      <c r="K151" s="96"/>
      <c r="L151" s="96"/>
    </row>
    <row r="152" spans="1:12" x14ac:dyDescent="0.25">
      <c r="A152">
        <f t="shared" si="17"/>
        <v>146</v>
      </c>
      <c r="B152" s="96">
        <f t="shared" si="23"/>
        <v>496698.46371233452</v>
      </c>
      <c r="C152" s="96">
        <f t="shared" si="18"/>
        <v>3525.4032463344793</v>
      </c>
      <c r="D152" s="93">
        <f t="shared" si="19"/>
        <v>3934.2933423472114</v>
      </c>
      <c r="E152" s="93">
        <f t="shared" si="16"/>
        <v>7459.6965886816906</v>
      </c>
      <c r="F152" s="93">
        <f>IF(A152="","",B152*Catálogos!$R$1)</f>
        <v>298.01907822740071</v>
      </c>
      <c r="G152" s="93">
        <f>IF(A152="","",IF(B152=0,0,$B$4*Catálogos!$Q$6))</f>
        <v>0</v>
      </c>
      <c r="H152" s="93">
        <f t="shared" si="20"/>
        <v>0</v>
      </c>
      <c r="I152" s="93">
        <f t="shared" si="21"/>
        <v>7757.7156669090909</v>
      </c>
      <c r="J152" s="96">
        <f t="shared" si="22"/>
        <v>7757.7156669090909</v>
      </c>
      <c r="K152" s="96"/>
      <c r="L152" s="96"/>
    </row>
    <row r="153" spans="1:12" x14ac:dyDescent="0.25">
      <c r="A153">
        <f t="shared" si="17"/>
        <v>147</v>
      </c>
      <c r="B153" s="96">
        <f t="shared" si="23"/>
        <v>493173.06046600005</v>
      </c>
      <c r="C153" s="96">
        <f t="shared" si="18"/>
        <v>3553.3275737372228</v>
      </c>
      <c r="D153" s="93">
        <f t="shared" si="19"/>
        <v>3906.3690149444678</v>
      </c>
      <c r="E153" s="93">
        <f t="shared" si="16"/>
        <v>7459.6965886816906</v>
      </c>
      <c r="F153" s="93">
        <f>IF(A153="","",B153*Catálogos!$R$1)</f>
        <v>295.9038362796</v>
      </c>
      <c r="G153" s="93">
        <f>IF(A153="","",IF(B153=0,0,$B$4*Catálogos!$Q$6))</f>
        <v>0</v>
      </c>
      <c r="H153" s="93">
        <f t="shared" si="20"/>
        <v>0</v>
      </c>
      <c r="I153" s="93">
        <f t="shared" si="21"/>
        <v>7755.6004249612906</v>
      </c>
      <c r="J153" s="96">
        <f t="shared" si="22"/>
        <v>7755.6004249612906</v>
      </c>
      <c r="K153" s="96"/>
      <c r="L153" s="96"/>
    </row>
    <row r="154" spans="1:12" x14ac:dyDescent="0.25">
      <c r="A154">
        <f t="shared" si="17"/>
        <v>148</v>
      </c>
      <c r="B154" s="96">
        <f t="shared" si="23"/>
        <v>489619.73289226281</v>
      </c>
      <c r="C154" s="96">
        <f t="shared" si="18"/>
        <v>3581.4730866346204</v>
      </c>
      <c r="D154" s="93">
        <f t="shared" si="19"/>
        <v>3878.2235020470703</v>
      </c>
      <c r="E154" s="93">
        <f t="shared" si="16"/>
        <v>7459.6965886816906</v>
      </c>
      <c r="F154" s="93">
        <f>IF(A154="","",B154*Catálogos!$R$1)</f>
        <v>293.77183973535767</v>
      </c>
      <c r="G154" s="93">
        <f>IF(A154="","",IF(B154=0,0,$B$4*Catálogos!$Q$6))</f>
        <v>0</v>
      </c>
      <c r="H154" s="93">
        <f t="shared" si="20"/>
        <v>0</v>
      </c>
      <c r="I154" s="93">
        <f t="shared" si="21"/>
        <v>7753.468428417048</v>
      </c>
      <c r="J154" s="96">
        <f t="shared" si="22"/>
        <v>7753.468428417048</v>
      </c>
      <c r="K154" s="96"/>
      <c r="L154" s="96"/>
    </row>
    <row r="155" spans="1:12" x14ac:dyDescent="0.25">
      <c r="A155">
        <f t="shared" si="17"/>
        <v>149</v>
      </c>
      <c r="B155" s="96">
        <f t="shared" si="23"/>
        <v>486038.25980562821</v>
      </c>
      <c r="C155" s="96">
        <f t="shared" si="18"/>
        <v>3609.8415370123989</v>
      </c>
      <c r="D155" s="93">
        <f t="shared" si="19"/>
        <v>3849.8550516692917</v>
      </c>
      <c r="E155" s="93">
        <f t="shared" si="16"/>
        <v>7459.6965886816906</v>
      </c>
      <c r="F155" s="93">
        <f>IF(A155="","",B155*Catálogos!$R$1)</f>
        <v>291.6229558833769</v>
      </c>
      <c r="G155" s="93">
        <f>IF(A155="","",IF(B155=0,0,$B$4*Catálogos!$Q$6))</f>
        <v>0</v>
      </c>
      <c r="H155" s="93">
        <f t="shared" si="20"/>
        <v>0</v>
      </c>
      <c r="I155" s="93">
        <f t="shared" si="21"/>
        <v>7751.3195445650672</v>
      </c>
      <c r="J155" s="96">
        <f t="shared" si="22"/>
        <v>7751.3195445650672</v>
      </c>
      <c r="K155" s="96"/>
      <c r="L155" s="96"/>
    </row>
    <row r="156" spans="1:12" x14ac:dyDescent="0.25">
      <c r="A156">
        <f t="shared" si="17"/>
        <v>150</v>
      </c>
      <c r="B156" s="96">
        <f t="shared" si="23"/>
        <v>482428.41826861579</v>
      </c>
      <c r="C156" s="96">
        <f t="shared" si="18"/>
        <v>3638.4346907335703</v>
      </c>
      <c r="D156" s="93">
        <f t="shared" si="19"/>
        <v>3821.2618979481203</v>
      </c>
      <c r="E156" s="93">
        <f t="shared" si="16"/>
        <v>7459.6965886816906</v>
      </c>
      <c r="F156" s="93">
        <f>IF(A156="","",B156*Catálogos!$R$1)</f>
        <v>289.45705096116944</v>
      </c>
      <c r="G156" s="93">
        <f>IF(A156="","",IF(B156=0,0,$B$4*Catálogos!$Q$6))</f>
        <v>0</v>
      </c>
      <c r="H156" s="93">
        <f t="shared" si="20"/>
        <v>0</v>
      </c>
      <c r="I156" s="93">
        <f t="shared" si="21"/>
        <v>7749.1536396428601</v>
      </c>
      <c r="J156" s="96">
        <f t="shared" si="22"/>
        <v>7749.1536396428601</v>
      </c>
      <c r="K156" s="96"/>
      <c r="L156" s="96"/>
    </row>
    <row r="157" spans="1:12" x14ac:dyDescent="0.25">
      <c r="A157">
        <f t="shared" si="17"/>
        <v>151</v>
      </c>
      <c r="B157" s="96">
        <f t="shared" si="23"/>
        <v>478789.98357788223</v>
      </c>
      <c r="C157" s="96">
        <f t="shared" si="18"/>
        <v>3667.2543276483498</v>
      </c>
      <c r="D157" s="93">
        <f t="shared" si="19"/>
        <v>3792.4422610333409</v>
      </c>
      <c r="E157" s="93">
        <f t="shared" si="16"/>
        <v>7459.6965886816906</v>
      </c>
      <c r="F157" s="93">
        <f>IF(A157="","",B157*Catálogos!$R$1)</f>
        <v>287.27399014672932</v>
      </c>
      <c r="G157" s="93">
        <f>IF(A157="","",IF(B157=0,0,$B$4*Catálogos!$Q$6))</f>
        <v>0</v>
      </c>
      <c r="H157" s="93">
        <f t="shared" si="20"/>
        <v>0</v>
      </c>
      <c r="I157" s="93">
        <f t="shared" si="21"/>
        <v>7746.97057882842</v>
      </c>
      <c r="J157" s="96">
        <f t="shared" si="22"/>
        <v>7746.97057882842</v>
      </c>
      <c r="K157" s="96"/>
      <c r="L157" s="96"/>
    </row>
    <row r="158" spans="1:12" x14ac:dyDescent="0.25">
      <c r="A158">
        <f t="shared" si="17"/>
        <v>152</v>
      </c>
      <c r="B158" s="96">
        <f t="shared" si="23"/>
        <v>475122.72925023385</v>
      </c>
      <c r="C158" s="96">
        <f t="shared" si="18"/>
        <v>3696.3022417049497</v>
      </c>
      <c r="D158" s="93">
        <f t="shared" si="19"/>
        <v>3763.394346976741</v>
      </c>
      <c r="E158" s="93">
        <f t="shared" si="16"/>
        <v>7459.6965886816906</v>
      </c>
      <c r="F158" s="93">
        <f>IF(A158="","",B158*Catálogos!$R$1)</f>
        <v>285.07363755014029</v>
      </c>
      <c r="G158" s="93">
        <f>IF(A158="","",IF(B158=0,0,$B$4*Catálogos!$Q$6))</f>
        <v>0</v>
      </c>
      <c r="H158" s="93">
        <f t="shared" si="20"/>
        <v>0</v>
      </c>
      <c r="I158" s="93">
        <f t="shared" si="21"/>
        <v>7744.7702262318307</v>
      </c>
      <c r="J158" s="96">
        <f t="shared" si="22"/>
        <v>7744.7702262318307</v>
      </c>
      <c r="K158" s="96"/>
      <c r="L158" s="96"/>
    </row>
    <row r="159" spans="1:12" x14ac:dyDescent="0.25">
      <c r="A159">
        <f t="shared" si="17"/>
        <v>153</v>
      </c>
      <c r="B159" s="96">
        <f t="shared" si="23"/>
        <v>471426.4270085289</v>
      </c>
      <c r="C159" s="96">
        <f t="shared" si="18"/>
        <v>3725.5802410612455</v>
      </c>
      <c r="D159" s="93">
        <f t="shared" si="19"/>
        <v>3734.1163476204451</v>
      </c>
      <c r="E159" s="93">
        <f t="shared" si="16"/>
        <v>7459.6965886816906</v>
      </c>
      <c r="F159" s="93">
        <f>IF(A159="","",B159*Catálogos!$R$1)</f>
        <v>282.85585620511733</v>
      </c>
      <c r="G159" s="93">
        <f>IF(A159="","",IF(B159=0,0,$B$4*Catálogos!$Q$6))</f>
        <v>0</v>
      </c>
      <c r="H159" s="93">
        <f t="shared" si="20"/>
        <v>0</v>
      </c>
      <c r="I159" s="93">
        <f t="shared" si="21"/>
        <v>7742.5524448868082</v>
      </c>
      <c r="J159" s="96">
        <f t="shared" si="22"/>
        <v>7742.5524448868082</v>
      </c>
      <c r="K159" s="96"/>
      <c r="L159" s="96"/>
    </row>
    <row r="160" spans="1:12" x14ac:dyDescent="0.25">
      <c r="A160">
        <f t="shared" si="17"/>
        <v>154</v>
      </c>
      <c r="B160" s="96">
        <f t="shared" si="23"/>
        <v>467700.84676746768</v>
      </c>
      <c r="C160" s="96">
        <f t="shared" si="18"/>
        <v>3755.090148197331</v>
      </c>
      <c r="D160" s="93">
        <f t="shared" si="19"/>
        <v>3704.6064404843596</v>
      </c>
      <c r="E160" s="93">
        <f t="shared" si="16"/>
        <v>7459.6965886816906</v>
      </c>
      <c r="F160" s="93">
        <f>IF(A160="","",B160*Catálogos!$R$1)</f>
        <v>280.62050806048057</v>
      </c>
      <c r="G160" s="93">
        <f>IF(A160="","",IF(B160=0,0,$B$4*Catálogos!$Q$6))</f>
        <v>0</v>
      </c>
      <c r="H160" s="93">
        <f t="shared" si="20"/>
        <v>0</v>
      </c>
      <c r="I160" s="93">
        <f t="shared" si="21"/>
        <v>7740.3170967421711</v>
      </c>
      <c r="J160" s="96">
        <f t="shared" si="22"/>
        <v>7740.3170967421711</v>
      </c>
      <c r="K160" s="96"/>
      <c r="L160" s="96"/>
    </row>
    <row r="161" spans="1:12" x14ac:dyDescent="0.25">
      <c r="A161">
        <f t="shared" si="17"/>
        <v>155</v>
      </c>
      <c r="B161" s="96">
        <f t="shared" si="23"/>
        <v>463945.75661927037</v>
      </c>
      <c r="C161" s="96">
        <f t="shared" si="18"/>
        <v>3784.8338000289632</v>
      </c>
      <c r="D161" s="93">
        <f t="shared" si="19"/>
        <v>3674.8627886527274</v>
      </c>
      <c r="E161" s="93">
        <f t="shared" si="16"/>
        <v>7459.6965886816906</v>
      </c>
      <c r="F161" s="93">
        <f>IF(A161="","",B161*Catálogos!$R$1)</f>
        <v>278.36745397156221</v>
      </c>
      <c r="G161" s="93">
        <f>IF(A161="","",IF(B161=0,0,$B$4*Catálogos!$Q$6))</f>
        <v>0</v>
      </c>
      <c r="H161" s="93">
        <f t="shared" si="20"/>
        <v>0</v>
      </c>
      <c r="I161" s="93">
        <f t="shared" si="21"/>
        <v>7738.0640426532527</v>
      </c>
      <c r="J161" s="96">
        <f t="shared" si="22"/>
        <v>7738.0640426532527</v>
      </c>
      <c r="K161" s="96"/>
      <c r="L161" s="96"/>
    </row>
    <row r="162" spans="1:12" x14ac:dyDescent="0.25">
      <c r="A162">
        <f t="shared" si="17"/>
        <v>156</v>
      </c>
      <c r="B162" s="96">
        <f t="shared" si="23"/>
        <v>460160.92281924142</v>
      </c>
      <c r="C162" s="96">
        <f t="shared" si="18"/>
        <v>3814.8130480219038</v>
      </c>
      <c r="D162" s="93">
        <f t="shared" si="19"/>
        <v>3644.8835406597868</v>
      </c>
      <c r="E162" s="93">
        <f t="shared" si="16"/>
        <v>7459.6965886816906</v>
      </c>
      <c r="F162" s="93">
        <f>IF(A162="","",B162*Catálogos!$R$1)</f>
        <v>276.09655369154484</v>
      </c>
      <c r="G162" s="93">
        <f>IF(A162="","",IF(B162=0,0,$B$4*Catálogos!$Q$6))</f>
        <v>0</v>
      </c>
      <c r="H162" s="93">
        <f t="shared" si="20"/>
        <v>0</v>
      </c>
      <c r="I162" s="93">
        <f t="shared" si="21"/>
        <v>7735.7931423732352</v>
      </c>
      <c r="J162" s="96">
        <f t="shared" si="22"/>
        <v>7735.7931423732352</v>
      </c>
      <c r="K162" s="96"/>
      <c r="L162" s="96"/>
    </row>
    <row r="163" spans="1:12" x14ac:dyDescent="0.25">
      <c r="A163">
        <f t="shared" si="17"/>
        <v>157</v>
      </c>
      <c r="B163" s="96">
        <f t="shared" si="23"/>
        <v>456346.10977121949</v>
      </c>
      <c r="C163" s="96">
        <f t="shared" si="18"/>
        <v>3845.0297583071692</v>
      </c>
      <c r="D163" s="93">
        <f t="shared" si="19"/>
        <v>3614.6668303745214</v>
      </c>
      <c r="E163" s="93">
        <f t="shared" si="16"/>
        <v>7459.6965886816906</v>
      </c>
      <c r="F163" s="93">
        <f>IF(A163="","",B163*Catálogos!$R$1)</f>
        <v>273.80766586273165</v>
      </c>
      <c r="G163" s="93">
        <f>IF(A163="","",IF(B163=0,0,$B$4*Catálogos!$Q$6))</f>
        <v>0</v>
      </c>
      <c r="H163" s="93">
        <f t="shared" si="20"/>
        <v>0</v>
      </c>
      <c r="I163" s="93">
        <f t="shared" si="21"/>
        <v>7733.5042545444221</v>
      </c>
      <c r="J163" s="96">
        <f t="shared" si="22"/>
        <v>7733.5042545444221</v>
      </c>
      <c r="K163" s="96"/>
      <c r="L163" s="96"/>
    </row>
    <row r="164" spans="1:12" x14ac:dyDescent="0.25">
      <c r="A164">
        <f t="shared" si="17"/>
        <v>158</v>
      </c>
      <c r="B164" s="96">
        <f t="shared" si="23"/>
        <v>452501.08001291234</v>
      </c>
      <c r="C164" s="96">
        <f t="shared" si="18"/>
        <v>3875.4858117971912</v>
      </c>
      <c r="D164" s="93">
        <f t="shared" si="19"/>
        <v>3584.2107768844994</v>
      </c>
      <c r="E164" s="93">
        <f t="shared" si="16"/>
        <v>7459.6965886816906</v>
      </c>
      <c r="F164" s="93">
        <f>IF(A164="","",B164*Catálogos!$R$1)</f>
        <v>271.50064800774737</v>
      </c>
      <c r="G164" s="93">
        <f>IF(A164="","",IF(B164=0,0,$B$4*Catálogos!$Q$6))</f>
        <v>0</v>
      </c>
      <c r="H164" s="93">
        <f t="shared" si="20"/>
        <v>0</v>
      </c>
      <c r="I164" s="93">
        <f t="shared" si="21"/>
        <v>7731.1972366894379</v>
      </c>
      <c r="J164" s="96">
        <f t="shared" si="22"/>
        <v>7731.1972366894379</v>
      </c>
      <c r="K164" s="96"/>
      <c r="L164" s="96"/>
    </row>
    <row r="165" spans="1:12" x14ac:dyDescent="0.25">
      <c r="A165">
        <f t="shared" si="17"/>
        <v>159</v>
      </c>
      <c r="B165" s="96">
        <f t="shared" si="23"/>
        <v>448625.59420111513</v>
      </c>
      <c r="C165" s="96">
        <f t="shared" si="18"/>
        <v>3906.1831043029024</v>
      </c>
      <c r="D165" s="93">
        <f t="shared" si="19"/>
        <v>3553.5134843787882</v>
      </c>
      <c r="E165" s="93">
        <f t="shared" si="16"/>
        <v>7459.6965886816906</v>
      </c>
      <c r="F165" s="93">
        <f>IF(A165="","",B165*Catálogos!$R$1)</f>
        <v>269.17535652066908</v>
      </c>
      <c r="G165" s="93">
        <f>IF(A165="","",IF(B165=0,0,$B$4*Catálogos!$Q$6))</f>
        <v>0</v>
      </c>
      <c r="H165" s="93">
        <f t="shared" si="20"/>
        <v>0</v>
      </c>
      <c r="I165" s="93">
        <f t="shared" si="21"/>
        <v>7728.8719452023597</v>
      </c>
      <c r="J165" s="96">
        <f t="shared" si="22"/>
        <v>7728.8719452023597</v>
      </c>
      <c r="K165" s="96"/>
      <c r="L165" s="96"/>
    </row>
    <row r="166" spans="1:12" x14ac:dyDescent="0.25">
      <c r="A166">
        <f t="shared" si="17"/>
        <v>160</v>
      </c>
      <c r="B166" s="96">
        <f t="shared" si="23"/>
        <v>444719.41109681223</v>
      </c>
      <c r="C166" s="96">
        <f t="shared" si="18"/>
        <v>3937.1235466517405</v>
      </c>
      <c r="D166" s="93">
        <f t="shared" si="19"/>
        <v>3522.5730420299501</v>
      </c>
      <c r="E166" s="93">
        <f t="shared" si="16"/>
        <v>7459.6965886816906</v>
      </c>
      <c r="F166" s="93">
        <f>IF(A166="","",B166*Catálogos!$R$1)</f>
        <v>266.83164665808732</v>
      </c>
      <c r="G166" s="93">
        <f>IF(A166="","",IF(B166=0,0,$B$4*Catálogos!$Q$6))</f>
        <v>0</v>
      </c>
      <c r="H166" s="93">
        <f t="shared" si="20"/>
        <v>0</v>
      </c>
      <c r="I166" s="93">
        <f t="shared" si="21"/>
        <v>7726.5282353397779</v>
      </c>
      <c r="J166" s="96">
        <f t="shared" si="22"/>
        <v>7726.5282353397779</v>
      </c>
      <c r="K166" s="96"/>
      <c r="L166" s="96"/>
    </row>
    <row r="167" spans="1:12" x14ac:dyDescent="0.25">
      <c r="A167">
        <f t="shared" si="17"/>
        <v>161</v>
      </c>
      <c r="B167" s="96">
        <f t="shared" si="23"/>
        <v>440782.28755016049</v>
      </c>
      <c r="C167" s="96">
        <f t="shared" si="18"/>
        <v>3968.3090648065972</v>
      </c>
      <c r="D167" s="93">
        <f t="shared" si="19"/>
        <v>3491.3875238750934</v>
      </c>
      <c r="E167" s="93">
        <f t="shared" si="16"/>
        <v>7459.6965886816906</v>
      </c>
      <c r="F167" s="93">
        <f>IF(A167="","",B167*Catálogos!$R$1)</f>
        <v>264.46937253009628</v>
      </c>
      <c r="G167" s="93">
        <f>IF(A167="","",IF(B167=0,0,$B$4*Catálogos!$Q$6))</f>
        <v>0</v>
      </c>
      <c r="H167" s="93">
        <f t="shared" si="20"/>
        <v>0</v>
      </c>
      <c r="I167" s="93">
        <f t="shared" si="21"/>
        <v>7724.1659612117874</v>
      </c>
      <c r="J167" s="96">
        <f t="shared" si="22"/>
        <v>7724.1659612117874</v>
      </c>
      <c r="K167" s="96"/>
      <c r="L167" s="96"/>
    </row>
    <row r="168" spans="1:12" x14ac:dyDescent="0.25">
      <c r="A168">
        <f t="shared" si="17"/>
        <v>162</v>
      </c>
      <c r="B168" s="96">
        <f t="shared" si="23"/>
        <v>436813.97848535387</v>
      </c>
      <c r="C168" s="96">
        <f t="shared" si="18"/>
        <v>3999.7415999857012</v>
      </c>
      <c r="D168" s="93">
        <f t="shared" si="19"/>
        <v>3459.9549886959894</v>
      </c>
      <c r="E168" s="93">
        <f t="shared" si="16"/>
        <v>7459.6965886816906</v>
      </c>
      <c r="F168" s="93">
        <f>IF(A168="","",B168*Catálogos!$R$1)</f>
        <v>262.08838709121233</v>
      </c>
      <c r="G168" s="93">
        <f>IF(A168="","",IF(B168=0,0,$B$4*Catálogos!$Q$6))</f>
        <v>0</v>
      </c>
      <c r="H168" s="93">
        <f t="shared" si="20"/>
        <v>0</v>
      </c>
      <c r="I168" s="93">
        <f t="shared" si="21"/>
        <v>7721.7849757729027</v>
      </c>
      <c r="J168" s="96">
        <f t="shared" si="22"/>
        <v>7721.7849757729027</v>
      </c>
      <c r="K168" s="96"/>
      <c r="L168" s="96"/>
    </row>
    <row r="169" spans="1:12" x14ac:dyDescent="0.25">
      <c r="A169">
        <f t="shared" si="17"/>
        <v>163</v>
      </c>
      <c r="B169" s="96">
        <f t="shared" si="23"/>
        <v>432814.23688536818</v>
      </c>
      <c r="C169" s="96">
        <f t="shared" si="18"/>
        <v>4031.4231087834542</v>
      </c>
      <c r="D169" s="93">
        <f t="shared" si="19"/>
        <v>3428.2734798982365</v>
      </c>
      <c r="E169" s="93">
        <f t="shared" si="16"/>
        <v>7459.6965886816906</v>
      </c>
      <c r="F169" s="93">
        <f>IF(A169="","",B169*Catálogos!$R$1)</f>
        <v>259.68854213122091</v>
      </c>
      <c r="G169" s="93">
        <f>IF(A169="","",IF(B169=0,0,$B$4*Catálogos!$Q$6))</f>
        <v>0</v>
      </c>
      <c r="H169" s="93">
        <f t="shared" si="20"/>
        <v>0</v>
      </c>
      <c r="I169" s="93">
        <f t="shared" si="21"/>
        <v>7719.3851308129115</v>
      </c>
      <c r="J169" s="96">
        <f t="shared" si="22"/>
        <v>7719.3851308129115</v>
      </c>
      <c r="K169" s="96"/>
      <c r="L169" s="96"/>
    </row>
    <row r="170" spans="1:12" x14ac:dyDescent="0.25">
      <c r="A170">
        <f t="shared" si="17"/>
        <v>164</v>
      </c>
      <c r="B170" s="96">
        <f t="shared" si="23"/>
        <v>428782.81377658475</v>
      </c>
      <c r="C170" s="96">
        <f t="shared" si="18"/>
        <v>4063.3555632922271</v>
      </c>
      <c r="D170" s="93">
        <f t="shared" si="19"/>
        <v>3396.3410253894635</v>
      </c>
      <c r="E170" s="93">
        <f t="shared" si="16"/>
        <v>7459.6965886816906</v>
      </c>
      <c r="F170" s="93">
        <f>IF(A170="","",B170*Catálogos!$R$1)</f>
        <v>257.26968826595083</v>
      </c>
      <c r="G170" s="93">
        <f>IF(A170="","",IF(B170=0,0,$B$4*Catálogos!$Q$6))</f>
        <v>0</v>
      </c>
      <c r="H170" s="93">
        <f t="shared" si="20"/>
        <v>0</v>
      </c>
      <c r="I170" s="93">
        <f t="shared" si="21"/>
        <v>7716.9662769476417</v>
      </c>
      <c r="J170" s="96">
        <f t="shared" si="22"/>
        <v>7716.9662769476417</v>
      </c>
      <c r="K170" s="96"/>
      <c r="L170" s="96"/>
    </row>
    <row r="171" spans="1:12" x14ac:dyDescent="0.25">
      <c r="A171">
        <f t="shared" si="17"/>
        <v>165</v>
      </c>
      <c r="B171" s="96">
        <f t="shared" si="23"/>
        <v>424719.45821329253</v>
      </c>
      <c r="C171" s="96">
        <f t="shared" si="18"/>
        <v>4095.5409512251131</v>
      </c>
      <c r="D171" s="93">
        <f t="shared" si="19"/>
        <v>3364.1556374565776</v>
      </c>
      <c r="E171" s="93">
        <f t="shared" si="16"/>
        <v>7459.6965886816906</v>
      </c>
      <c r="F171" s="93">
        <f>IF(A171="","",B171*Catálogos!$R$1)</f>
        <v>254.83167492797548</v>
      </c>
      <c r="G171" s="93">
        <f>IF(A171="","",IF(B171=0,0,$B$4*Catálogos!$Q$6))</f>
        <v>0</v>
      </c>
      <c r="H171" s="93">
        <f t="shared" si="20"/>
        <v>0</v>
      </c>
      <c r="I171" s="93">
        <f t="shared" si="21"/>
        <v>7714.5282636096663</v>
      </c>
      <c r="J171" s="96">
        <f t="shared" si="22"/>
        <v>7714.5282636096663</v>
      </c>
      <c r="K171" s="96"/>
      <c r="L171" s="96"/>
    </row>
    <row r="172" spans="1:12" x14ac:dyDescent="0.25">
      <c r="A172">
        <f t="shared" si="17"/>
        <v>166</v>
      </c>
      <c r="B172" s="96">
        <f t="shared" si="23"/>
        <v>420623.91726206744</v>
      </c>
      <c r="C172" s="96">
        <f t="shared" si="18"/>
        <v>4127.9812760396617</v>
      </c>
      <c r="D172" s="93">
        <f t="shared" si="19"/>
        <v>3331.7153126420294</v>
      </c>
      <c r="E172" s="93">
        <f t="shared" si="16"/>
        <v>7459.6965886816906</v>
      </c>
      <c r="F172" s="93">
        <f>IF(A172="","",B172*Catálogos!$R$1)</f>
        <v>252.37435035724044</v>
      </c>
      <c r="G172" s="93">
        <f>IF(A172="","",IF(B172=0,0,$B$4*Catálogos!$Q$6))</f>
        <v>0</v>
      </c>
      <c r="H172" s="93">
        <f t="shared" si="20"/>
        <v>0</v>
      </c>
      <c r="I172" s="93">
        <f t="shared" si="21"/>
        <v>7712.0709390389311</v>
      </c>
      <c r="J172" s="96">
        <f t="shared" si="22"/>
        <v>7712.0709390389311</v>
      </c>
      <c r="K172" s="96"/>
      <c r="L172" s="96"/>
    </row>
    <row r="173" spans="1:12" x14ac:dyDescent="0.25">
      <c r="A173">
        <f t="shared" si="17"/>
        <v>167</v>
      </c>
      <c r="B173" s="96">
        <f t="shared" si="23"/>
        <v>416495.93598602776</v>
      </c>
      <c r="C173" s="96">
        <f t="shared" si="18"/>
        <v>4160.6785570625852</v>
      </c>
      <c r="D173" s="93">
        <f t="shared" si="19"/>
        <v>3299.0180316191054</v>
      </c>
      <c r="E173" s="93">
        <f t="shared" si="16"/>
        <v>7459.6965886816906</v>
      </c>
      <c r="F173" s="93">
        <f>IF(A173="","",B173*Catálogos!$R$1)</f>
        <v>249.89756159161664</v>
      </c>
      <c r="G173" s="93">
        <f>IF(A173="","",IF(B173=0,0,$B$4*Catálogos!$Q$6))</f>
        <v>0</v>
      </c>
      <c r="H173" s="93">
        <f t="shared" si="20"/>
        <v>0</v>
      </c>
      <c r="I173" s="93">
        <f t="shared" si="21"/>
        <v>7709.5941502733076</v>
      </c>
      <c r="J173" s="96">
        <f t="shared" si="22"/>
        <v>7709.5941502733076</v>
      </c>
      <c r="K173" s="96"/>
      <c r="L173" s="96"/>
    </row>
    <row r="174" spans="1:12" x14ac:dyDescent="0.25">
      <c r="A174">
        <f t="shared" si="17"/>
        <v>168</v>
      </c>
      <c r="B174" s="96">
        <f t="shared" si="23"/>
        <v>412335.25742896518</v>
      </c>
      <c r="C174" s="96">
        <f t="shared" si="18"/>
        <v>4193.6348296154611</v>
      </c>
      <c r="D174" s="93">
        <f t="shared" si="19"/>
        <v>3266.06175906623</v>
      </c>
      <c r="E174" s="93">
        <f t="shared" si="16"/>
        <v>7459.6965886816906</v>
      </c>
      <c r="F174" s="93">
        <f>IF(A174="","",B174*Catálogos!$R$1)</f>
        <v>247.40115445737908</v>
      </c>
      <c r="G174" s="93">
        <f>IF(A174="","",IF(B174=0,0,$B$4*Catálogos!$Q$6))</f>
        <v>0</v>
      </c>
      <c r="H174" s="93">
        <f t="shared" si="20"/>
        <v>0</v>
      </c>
      <c r="I174" s="93">
        <f t="shared" si="21"/>
        <v>7707.0977431390693</v>
      </c>
      <c r="J174" s="96">
        <f t="shared" si="22"/>
        <v>7707.0977431390693</v>
      </c>
      <c r="K174" s="96"/>
      <c r="L174" s="96"/>
    </row>
    <row r="175" spans="1:12" x14ac:dyDescent="0.25">
      <c r="A175">
        <f t="shared" si="17"/>
        <v>169</v>
      </c>
      <c r="B175" s="96">
        <f t="shared" si="23"/>
        <v>408141.62259934971</v>
      </c>
      <c r="C175" s="96">
        <f t="shared" si="18"/>
        <v>4226.8521451414199</v>
      </c>
      <c r="D175" s="93">
        <f t="shared" si="19"/>
        <v>3232.8444435402712</v>
      </c>
      <c r="E175" s="93">
        <f t="shared" si="16"/>
        <v>7459.6965886816906</v>
      </c>
      <c r="F175" s="93">
        <f>IF(A175="","",B175*Catálogos!$R$1)</f>
        <v>244.88497355960979</v>
      </c>
      <c r="G175" s="93">
        <f>IF(A175="","",IF(B175=0,0,$B$4*Catálogos!$Q$6))</f>
        <v>0</v>
      </c>
      <c r="H175" s="93">
        <f t="shared" si="20"/>
        <v>0</v>
      </c>
      <c r="I175" s="93">
        <f t="shared" si="21"/>
        <v>7704.5815622413002</v>
      </c>
      <c r="J175" s="96">
        <f t="shared" si="22"/>
        <v>7704.5815622413002</v>
      </c>
      <c r="K175" s="96"/>
      <c r="L175" s="96"/>
    </row>
    <row r="176" spans="1:12" x14ac:dyDescent="0.25">
      <c r="A176">
        <f t="shared" si="17"/>
        <v>170</v>
      </c>
      <c r="B176" s="96">
        <f t="shared" si="23"/>
        <v>403914.77045420831</v>
      </c>
      <c r="C176" s="96">
        <f t="shared" si="18"/>
        <v>4260.3325713328459</v>
      </c>
      <c r="D176" s="93">
        <f t="shared" si="19"/>
        <v>3199.3640173488448</v>
      </c>
      <c r="E176" s="93">
        <f t="shared" si="16"/>
        <v>7459.6965886816906</v>
      </c>
      <c r="F176" s="93">
        <f>IF(A176="","",B176*Catálogos!$R$1)</f>
        <v>242.34886227252497</v>
      </c>
      <c r="G176" s="93">
        <f>IF(A176="","",IF(B176=0,0,$B$4*Catálogos!$Q$6))</f>
        <v>0</v>
      </c>
      <c r="H176" s="93">
        <f t="shared" si="20"/>
        <v>0</v>
      </c>
      <c r="I176" s="93">
        <f t="shared" si="21"/>
        <v>7702.045450954216</v>
      </c>
      <c r="J176" s="96">
        <f t="shared" si="22"/>
        <v>7702.045450954216</v>
      </c>
      <c r="K176" s="96"/>
      <c r="L176" s="96"/>
    </row>
    <row r="177" spans="1:12" x14ac:dyDescent="0.25">
      <c r="A177">
        <f t="shared" si="17"/>
        <v>171</v>
      </c>
      <c r="B177" s="96">
        <f t="shared" si="23"/>
        <v>399654.43788287544</v>
      </c>
      <c r="C177" s="96">
        <f t="shared" si="18"/>
        <v>4294.0781922600881</v>
      </c>
      <c r="D177" s="93">
        <f t="shared" si="19"/>
        <v>3165.6183964216025</v>
      </c>
      <c r="E177" s="93">
        <f t="shared" si="16"/>
        <v>7459.6965886816906</v>
      </c>
      <c r="F177" s="93">
        <f>IF(A177="","",B177*Catálogos!$R$1)</f>
        <v>239.79266272972524</v>
      </c>
      <c r="G177" s="93">
        <f>IF(A177="","",IF(B177=0,0,$B$4*Catálogos!$Q$6))</f>
        <v>0</v>
      </c>
      <c r="H177" s="93">
        <f t="shared" si="20"/>
        <v>0</v>
      </c>
      <c r="I177" s="93">
        <f t="shared" si="21"/>
        <v>7699.4892514114163</v>
      </c>
      <c r="J177" s="96">
        <f t="shared" si="22"/>
        <v>7699.4892514114163</v>
      </c>
      <c r="K177" s="96"/>
      <c r="L177" s="96"/>
    </row>
    <row r="178" spans="1:12" x14ac:dyDescent="0.25">
      <c r="A178">
        <f t="shared" si="17"/>
        <v>172</v>
      </c>
      <c r="B178" s="96">
        <f t="shared" si="23"/>
        <v>395360.35969061533</v>
      </c>
      <c r="C178" s="96">
        <f t="shared" si="18"/>
        <v>4328.0911085011812</v>
      </c>
      <c r="D178" s="93">
        <f t="shared" si="19"/>
        <v>3131.6054801805094</v>
      </c>
      <c r="E178" s="93">
        <f t="shared" si="16"/>
        <v>7459.6965886816906</v>
      </c>
      <c r="F178" s="93">
        <f>IF(A178="","",B178*Catálogos!$R$1)</f>
        <v>237.21621581436918</v>
      </c>
      <c r="G178" s="93">
        <f>IF(A178="","",IF(B178=0,0,$B$4*Catálogos!$Q$6))</f>
        <v>0</v>
      </c>
      <c r="H178" s="93">
        <f t="shared" si="20"/>
        <v>0</v>
      </c>
      <c r="I178" s="93">
        <f t="shared" si="21"/>
        <v>7696.9128044960598</v>
      </c>
      <c r="J178" s="96">
        <f t="shared" si="22"/>
        <v>7696.9128044960598</v>
      </c>
      <c r="K178" s="96"/>
      <c r="L178" s="96"/>
    </row>
    <row r="179" spans="1:12" x14ac:dyDescent="0.25">
      <c r="A179">
        <f t="shared" si="17"/>
        <v>173</v>
      </c>
      <c r="B179" s="96">
        <f t="shared" si="23"/>
        <v>391032.26858211413</v>
      </c>
      <c r="C179" s="96">
        <f t="shared" si="18"/>
        <v>4362.3734372726067</v>
      </c>
      <c r="D179" s="93">
        <f t="shared" si="19"/>
        <v>3097.3231514090835</v>
      </c>
      <c r="E179" s="93">
        <f t="shared" si="16"/>
        <v>7459.6965886816906</v>
      </c>
      <c r="F179" s="93">
        <f>IF(A179="","",B179*Catálogos!$R$1)</f>
        <v>234.61936114926846</v>
      </c>
      <c r="G179" s="93">
        <f>IF(A179="","",IF(B179=0,0,$B$4*Catálogos!$Q$6))</f>
        <v>0</v>
      </c>
      <c r="H179" s="93">
        <f t="shared" si="20"/>
        <v>0</v>
      </c>
      <c r="I179" s="93">
        <f t="shared" si="21"/>
        <v>7694.3159498309587</v>
      </c>
      <c r="J179" s="96">
        <f t="shared" si="22"/>
        <v>7694.3159498309587</v>
      </c>
      <c r="K179" s="96"/>
      <c r="L179" s="96"/>
    </row>
    <row r="180" spans="1:12" x14ac:dyDescent="0.25">
      <c r="A180">
        <f t="shared" si="17"/>
        <v>174</v>
      </c>
      <c r="B180" s="96">
        <f t="shared" si="23"/>
        <v>386669.89514484152</v>
      </c>
      <c r="C180" s="96">
        <f t="shared" si="18"/>
        <v>4396.9273125610835</v>
      </c>
      <c r="D180" s="93">
        <f t="shared" si="19"/>
        <v>3062.7692761206067</v>
      </c>
      <c r="E180" s="93">
        <f t="shared" si="16"/>
        <v>7459.6965886816906</v>
      </c>
      <c r="F180" s="93">
        <f>IF(A180="","",B180*Catálogos!$R$1)</f>
        <v>232.00193708690489</v>
      </c>
      <c r="G180" s="93">
        <f>IF(A180="","",IF(B180=0,0,$B$4*Catálogos!$Q$6))</f>
        <v>0</v>
      </c>
      <c r="H180" s="93">
        <f t="shared" si="20"/>
        <v>0</v>
      </c>
      <c r="I180" s="93">
        <f t="shared" si="21"/>
        <v>7691.6985257685956</v>
      </c>
      <c r="J180" s="96">
        <f t="shared" si="22"/>
        <v>7691.6985257685956</v>
      </c>
      <c r="K180" s="96"/>
      <c r="L180" s="96"/>
    </row>
    <row r="181" spans="1:12" x14ac:dyDescent="0.25">
      <c r="A181">
        <f t="shared" si="17"/>
        <v>175</v>
      </c>
      <c r="B181" s="96">
        <f t="shared" si="23"/>
        <v>382272.96783228044</v>
      </c>
      <c r="C181" s="96">
        <f t="shared" si="18"/>
        <v>4431.7548852564014</v>
      </c>
      <c r="D181" s="93">
        <f t="shared" si="19"/>
        <v>3027.9417034252897</v>
      </c>
      <c r="E181" s="93">
        <f t="shared" si="16"/>
        <v>7459.6965886816906</v>
      </c>
      <c r="F181" s="93">
        <f>IF(A181="","",B181*Catálogos!$R$1)</f>
        <v>229.36378069936825</v>
      </c>
      <c r="G181" s="93">
        <f>IF(A181="","",IF(B181=0,0,$B$4*Catálogos!$Q$6))</f>
        <v>0</v>
      </c>
      <c r="H181" s="93">
        <f t="shared" si="20"/>
        <v>0</v>
      </c>
      <c r="I181" s="93">
        <f t="shared" si="21"/>
        <v>7689.060369381059</v>
      </c>
      <c r="J181" s="96">
        <f t="shared" si="22"/>
        <v>7689.060369381059</v>
      </c>
      <c r="K181" s="96"/>
      <c r="L181" s="96"/>
    </row>
    <row r="182" spans="1:12" x14ac:dyDescent="0.25">
      <c r="A182">
        <f t="shared" si="17"/>
        <v>176</v>
      </c>
      <c r="B182" s="96">
        <f t="shared" si="23"/>
        <v>377841.21294702403</v>
      </c>
      <c r="C182" s="96">
        <f t="shared" si="18"/>
        <v>4466.8583232853071</v>
      </c>
      <c r="D182" s="93">
        <f t="shared" si="19"/>
        <v>2992.8382653963831</v>
      </c>
      <c r="E182" s="93">
        <f t="shared" si="16"/>
        <v>7459.6965886816906</v>
      </c>
      <c r="F182" s="93">
        <f>IF(A182="","",B182*Catálogos!$R$1)</f>
        <v>226.70472776821441</v>
      </c>
      <c r="G182" s="93">
        <f>IF(A182="","",IF(B182=0,0,$B$4*Catálogos!$Q$6))</f>
        <v>0</v>
      </c>
      <c r="H182" s="93">
        <f t="shared" si="20"/>
        <v>0</v>
      </c>
      <c r="I182" s="93">
        <f t="shared" si="21"/>
        <v>7686.4013164499047</v>
      </c>
      <c r="J182" s="96">
        <f t="shared" si="22"/>
        <v>7686.4013164499047</v>
      </c>
      <c r="K182" s="96"/>
      <c r="L182" s="96"/>
    </row>
    <row r="183" spans="1:12" x14ac:dyDescent="0.25">
      <c r="A183">
        <f t="shared" si="17"/>
        <v>177</v>
      </c>
      <c r="B183" s="96">
        <f t="shared" si="23"/>
        <v>373374.35462373873</v>
      </c>
      <c r="C183" s="96">
        <f t="shared" si="18"/>
        <v>4502.2398117464581</v>
      </c>
      <c r="D183" s="93">
        <f t="shared" si="19"/>
        <v>2957.456776935232</v>
      </c>
      <c r="E183" s="93">
        <f t="shared" si="16"/>
        <v>7459.6965886816906</v>
      </c>
      <c r="F183" s="93">
        <f>IF(A183="","",B183*Catálogos!$R$1)</f>
        <v>224.02461277424322</v>
      </c>
      <c r="G183" s="93">
        <f>IF(A183="","",IF(B183=0,0,$B$4*Catálogos!$Q$6))</f>
        <v>0</v>
      </c>
      <c r="H183" s="93">
        <f t="shared" si="20"/>
        <v>0</v>
      </c>
      <c r="I183" s="93">
        <f t="shared" si="21"/>
        <v>7683.7212014559336</v>
      </c>
      <c r="J183" s="96">
        <f t="shared" si="22"/>
        <v>7683.7212014559336</v>
      </c>
      <c r="K183" s="96"/>
      <c r="L183" s="96"/>
    </row>
    <row r="184" spans="1:12" x14ac:dyDescent="0.25">
      <c r="A184">
        <f t="shared" si="17"/>
        <v>178</v>
      </c>
      <c r="B184" s="96">
        <f t="shared" si="23"/>
        <v>368872.11481199227</v>
      </c>
      <c r="C184" s="96">
        <f t="shared" si="18"/>
        <v>4537.9015530464349</v>
      </c>
      <c r="D184" s="93">
        <f t="shared" si="19"/>
        <v>2921.7950356352562</v>
      </c>
      <c r="E184" s="93">
        <f t="shared" si="16"/>
        <v>7459.6965886816906</v>
      </c>
      <c r="F184" s="93">
        <f>IF(A184="","",B184*Catálogos!$R$1)</f>
        <v>221.32326888719535</v>
      </c>
      <c r="G184" s="93">
        <f>IF(A184="","",IF(B184=0,0,$B$4*Catálogos!$Q$6))</f>
        <v>0</v>
      </c>
      <c r="H184" s="93">
        <f t="shared" si="20"/>
        <v>0</v>
      </c>
      <c r="I184" s="93">
        <f t="shared" si="21"/>
        <v>7681.0198575688864</v>
      </c>
      <c r="J184" s="96">
        <f t="shared" si="22"/>
        <v>7681.0198575688864</v>
      </c>
      <c r="K184" s="96"/>
      <c r="L184" s="96"/>
    </row>
    <row r="185" spans="1:12" x14ac:dyDescent="0.25">
      <c r="A185">
        <f t="shared" si="17"/>
        <v>179</v>
      </c>
      <c r="B185" s="96">
        <f t="shared" si="23"/>
        <v>364334.21325894585</v>
      </c>
      <c r="C185" s="96">
        <f t="shared" si="18"/>
        <v>4573.8457670368316</v>
      </c>
      <c r="D185" s="93">
        <f t="shared" si="19"/>
        <v>2885.850821644859</v>
      </c>
      <c r="E185" s="93">
        <f t="shared" si="16"/>
        <v>7459.6965886816906</v>
      </c>
      <c r="F185" s="93">
        <f>IF(A185="","",B185*Catálogos!$R$1)</f>
        <v>218.60052795536748</v>
      </c>
      <c r="G185" s="93">
        <f>IF(A185="","",IF(B185=0,0,$B$4*Catálogos!$Q$6))</f>
        <v>0</v>
      </c>
      <c r="H185" s="93">
        <f t="shared" si="20"/>
        <v>0</v>
      </c>
      <c r="I185" s="93">
        <f t="shared" si="21"/>
        <v>7678.297116637058</v>
      </c>
      <c r="J185" s="96">
        <f t="shared" si="22"/>
        <v>7678.297116637058</v>
      </c>
      <c r="K185" s="96"/>
      <c r="L185" s="96"/>
    </row>
    <row r="186" spans="1:12" x14ac:dyDescent="0.25">
      <c r="A186">
        <f t="shared" si="17"/>
        <v>180</v>
      </c>
      <c r="B186" s="96">
        <f t="shared" si="23"/>
        <v>359760.36749190901</v>
      </c>
      <c r="C186" s="96">
        <f t="shared" si="18"/>
        <v>4610.0746911524457</v>
      </c>
      <c r="D186" s="93">
        <f t="shared" si="19"/>
        <v>2849.6218975292454</v>
      </c>
      <c r="E186" s="93">
        <f t="shared" si="16"/>
        <v>7459.6965886816906</v>
      </c>
      <c r="F186" s="93">
        <f>IF(A186="","",B186*Catálogos!$R$1)</f>
        <v>215.85622049514538</v>
      </c>
      <c r="G186" s="93">
        <f>IF(A186="","",IF(B186=0,0,$B$4*Catálogos!$Q$6))</f>
        <v>0</v>
      </c>
      <c r="H186" s="93">
        <f t="shared" si="20"/>
        <v>0</v>
      </c>
      <c r="I186" s="93">
        <f t="shared" si="21"/>
        <v>7675.5528091768356</v>
      </c>
      <c r="J186" s="96">
        <f t="shared" si="22"/>
        <v>7675.5528091768356</v>
      </c>
      <c r="K186" s="96"/>
      <c r="L186" s="96"/>
    </row>
    <row r="187" spans="1:12" x14ac:dyDescent="0.25">
      <c r="A187">
        <f t="shared" si="17"/>
        <v>181</v>
      </c>
      <c r="B187" s="96">
        <f t="shared" si="23"/>
        <v>355150.29280075658</v>
      </c>
      <c r="C187" s="96">
        <f t="shared" si="18"/>
        <v>4646.5905805505427</v>
      </c>
      <c r="D187" s="93">
        <f t="shared" si="19"/>
        <v>2813.1060081311484</v>
      </c>
      <c r="E187" s="93">
        <f t="shared" si="16"/>
        <v>7459.6965886816906</v>
      </c>
      <c r="F187" s="93">
        <f>IF(A187="","",B187*Catálogos!$R$1)</f>
        <v>213.09017568045394</v>
      </c>
      <c r="G187" s="93">
        <f>IF(A187="","",IF(B187=0,0,$B$4*Catálogos!$Q$6))</f>
        <v>0</v>
      </c>
      <c r="H187" s="93">
        <f t="shared" si="20"/>
        <v>0</v>
      </c>
      <c r="I187" s="93">
        <f t="shared" si="21"/>
        <v>7672.7867643621448</v>
      </c>
      <c r="J187" s="96">
        <f t="shared" si="22"/>
        <v>7672.7867643621448</v>
      </c>
      <c r="K187" s="96"/>
      <c r="L187" s="96"/>
    </row>
    <row r="188" spans="1:12" x14ac:dyDescent="0.25">
      <c r="A188">
        <f t="shared" si="17"/>
        <v>182</v>
      </c>
      <c r="B188" s="96">
        <f t="shared" si="23"/>
        <v>350503.70222020603</v>
      </c>
      <c r="C188" s="96">
        <f t="shared" si="18"/>
        <v>4683.3957082512406</v>
      </c>
      <c r="D188" s="93">
        <f t="shared" si="19"/>
        <v>2776.3008804304495</v>
      </c>
      <c r="E188" s="93">
        <f t="shared" si="16"/>
        <v>7459.6965886816906</v>
      </c>
      <c r="F188" s="93">
        <f>IF(A188="","",B188*Catálogos!$R$1)</f>
        <v>210.30222133212359</v>
      </c>
      <c r="G188" s="93">
        <f>IF(A188="","",IF(B188=0,0,$B$4*Catálogos!$Q$6))</f>
        <v>0</v>
      </c>
      <c r="H188" s="93">
        <f t="shared" si="20"/>
        <v>0</v>
      </c>
      <c r="I188" s="93">
        <f t="shared" si="21"/>
        <v>7669.9988100138144</v>
      </c>
      <c r="J188" s="96">
        <f t="shared" si="22"/>
        <v>7669.9988100138144</v>
      </c>
      <c r="K188" s="96"/>
      <c r="L188" s="96"/>
    </row>
    <row r="189" spans="1:12" x14ac:dyDescent="0.25">
      <c r="A189">
        <f t="shared" si="17"/>
        <v>183</v>
      </c>
      <c r="B189" s="96">
        <f t="shared" si="23"/>
        <v>345820.30651195481</v>
      </c>
      <c r="C189" s="96">
        <f t="shared" si="18"/>
        <v>4720.4923652789985</v>
      </c>
      <c r="D189" s="93">
        <f t="shared" si="19"/>
        <v>2739.2042234026926</v>
      </c>
      <c r="E189" s="93">
        <f t="shared" si="16"/>
        <v>7459.6965886816906</v>
      </c>
      <c r="F189" s="93">
        <f>IF(A189="","",B189*Catálogos!$R$1)</f>
        <v>207.49218390717286</v>
      </c>
      <c r="G189" s="93">
        <f>IF(A189="","",IF(B189=0,0,$B$4*Catálogos!$Q$6))</f>
        <v>0</v>
      </c>
      <c r="H189" s="93">
        <f t="shared" si="20"/>
        <v>0</v>
      </c>
      <c r="I189" s="93">
        <f t="shared" si="21"/>
        <v>7667.1887725888637</v>
      </c>
      <c r="J189" s="96">
        <f t="shared" si="22"/>
        <v>7667.1887725888637</v>
      </c>
      <c r="K189" s="96"/>
      <c r="L189" s="96"/>
    </row>
    <row r="190" spans="1:12" x14ac:dyDescent="0.25">
      <c r="A190">
        <f t="shared" si="17"/>
        <v>184</v>
      </c>
      <c r="B190" s="96">
        <f t="shared" si="23"/>
        <v>341099.81414667581</v>
      </c>
      <c r="C190" s="96">
        <f t="shared" si="18"/>
        <v>4757.8828608052208</v>
      </c>
      <c r="D190" s="93">
        <f t="shared" si="19"/>
        <v>2701.8137278764693</v>
      </c>
      <c r="E190" s="93">
        <f t="shared" si="16"/>
        <v>7459.6965886816906</v>
      </c>
      <c r="F190" s="93">
        <f>IF(A190="","",B190*Catálogos!$R$1)</f>
        <v>204.65988848800546</v>
      </c>
      <c r="G190" s="93">
        <f>IF(A190="","",IF(B190=0,0,$B$4*Catálogos!$Q$6))</f>
        <v>0</v>
      </c>
      <c r="H190" s="93">
        <f t="shared" si="20"/>
        <v>0</v>
      </c>
      <c r="I190" s="93">
        <f t="shared" si="21"/>
        <v>7664.3564771696965</v>
      </c>
      <c r="J190" s="96">
        <f t="shared" si="22"/>
        <v>7664.3564771696965</v>
      </c>
      <c r="K190" s="96"/>
      <c r="L190" s="96"/>
    </row>
    <row r="191" spans="1:12" x14ac:dyDescent="0.25">
      <c r="A191">
        <f t="shared" si="17"/>
        <v>185</v>
      </c>
      <c r="B191" s="96">
        <f t="shared" si="23"/>
        <v>336341.93128587061</v>
      </c>
      <c r="C191" s="96">
        <f t="shared" si="18"/>
        <v>4795.5695222920076</v>
      </c>
      <c r="D191" s="93">
        <f t="shared" si="19"/>
        <v>2664.1270663896826</v>
      </c>
      <c r="E191" s="93">
        <f t="shared" si="16"/>
        <v>7459.6965886816906</v>
      </c>
      <c r="F191" s="93">
        <f>IF(A191="","",B191*Catálogos!$R$1)</f>
        <v>201.80515877152234</v>
      </c>
      <c r="G191" s="93">
        <f>IF(A191="","",IF(B191=0,0,$B$4*Catálogos!$Q$6))</f>
        <v>0</v>
      </c>
      <c r="H191" s="93">
        <f t="shared" si="20"/>
        <v>0</v>
      </c>
      <c r="I191" s="93">
        <f t="shared" si="21"/>
        <v>7661.5017474532133</v>
      </c>
      <c r="J191" s="96">
        <f t="shared" si="22"/>
        <v>7661.5017474532133</v>
      </c>
      <c r="K191" s="96"/>
      <c r="L191" s="96"/>
    </row>
    <row r="192" spans="1:12" x14ac:dyDescent="0.25">
      <c r="A192">
        <f t="shared" si="17"/>
        <v>186</v>
      </c>
      <c r="B192" s="96">
        <f t="shared" si="23"/>
        <v>331546.36176357861</v>
      </c>
      <c r="C192" s="96">
        <f t="shared" si="18"/>
        <v>4833.5546956370254</v>
      </c>
      <c r="D192" s="93">
        <f t="shared" si="19"/>
        <v>2626.1418930446657</v>
      </c>
      <c r="E192" s="93">
        <f t="shared" si="16"/>
        <v>7459.6965886816906</v>
      </c>
      <c r="F192" s="93">
        <f>IF(A192="","",B192*Catálogos!$R$1)</f>
        <v>198.92781705814716</v>
      </c>
      <c r="G192" s="93">
        <f>IF(A192="","",IF(B192=0,0,$B$4*Catálogos!$Q$6))</f>
        <v>0</v>
      </c>
      <c r="H192" s="93">
        <f t="shared" si="20"/>
        <v>0</v>
      </c>
      <c r="I192" s="93">
        <f t="shared" si="21"/>
        <v>7658.624405739838</v>
      </c>
      <c r="J192" s="96">
        <f t="shared" si="22"/>
        <v>7658.624405739838</v>
      </c>
      <c r="K192" s="96"/>
      <c r="L192" s="96"/>
    </row>
    <row r="193" spans="1:12" x14ac:dyDescent="0.25">
      <c r="A193">
        <f t="shared" si="17"/>
        <v>187</v>
      </c>
      <c r="B193" s="96">
        <f t="shared" si="23"/>
        <v>326712.80706794158</v>
      </c>
      <c r="C193" s="96">
        <f t="shared" si="18"/>
        <v>4871.8407453195323</v>
      </c>
      <c r="D193" s="93">
        <f t="shared" si="19"/>
        <v>2587.8558433621579</v>
      </c>
      <c r="E193" s="93">
        <f t="shared" si="16"/>
        <v>7459.6965886816906</v>
      </c>
      <c r="F193" s="93">
        <f>IF(A193="","",B193*Catálogos!$R$1)</f>
        <v>196.02768424076493</v>
      </c>
      <c r="G193" s="93">
        <f>IF(A193="","",IF(B193=0,0,$B$4*Catálogos!$Q$6))</f>
        <v>0</v>
      </c>
      <c r="H193" s="93">
        <f t="shared" si="20"/>
        <v>0</v>
      </c>
      <c r="I193" s="93">
        <f t="shared" si="21"/>
        <v>7655.7242729224554</v>
      </c>
      <c r="J193" s="96">
        <f t="shared" si="22"/>
        <v>7655.7242729224554</v>
      </c>
      <c r="K193" s="96"/>
      <c r="L193" s="96"/>
    </row>
    <row r="194" spans="1:12" x14ac:dyDescent="0.25">
      <c r="A194">
        <f t="shared" si="17"/>
        <v>188</v>
      </c>
      <c r="B194" s="96">
        <f t="shared" si="23"/>
        <v>321840.96632262203</v>
      </c>
      <c r="C194" s="96">
        <f t="shared" si="18"/>
        <v>4910.4300545475708</v>
      </c>
      <c r="D194" s="93">
        <f t="shared" si="19"/>
        <v>2549.2665341341199</v>
      </c>
      <c r="E194" s="93">
        <f t="shared" si="16"/>
        <v>7459.6965886816906</v>
      </c>
      <c r="F194" s="93">
        <f>IF(A194="","",B194*Catálogos!$R$1)</f>
        <v>193.10457979357321</v>
      </c>
      <c r="G194" s="93">
        <f>IF(A194="","",IF(B194=0,0,$B$4*Catálogos!$Q$6))</f>
        <v>0</v>
      </c>
      <c r="H194" s="93">
        <f t="shared" si="20"/>
        <v>0</v>
      </c>
      <c r="I194" s="93">
        <f t="shared" si="21"/>
        <v>7652.8011684752637</v>
      </c>
      <c r="J194" s="96">
        <f t="shared" si="22"/>
        <v>7652.8011684752637</v>
      </c>
      <c r="K194" s="96"/>
      <c r="L194" s="96"/>
    </row>
    <row r="195" spans="1:12" x14ac:dyDescent="0.25">
      <c r="A195">
        <f t="shared" si="17"/>
        <v>189</v>
      </c>
      <c r="B195" s="96">
        <f t="shared" si="23"/>
        <v>316930.53626807447</v>
      </c>
      <c r="C195" s="96">
        <f t="shared" si="18"/>
        <v>4949.3250254063023</v>
      </c>
      <c r="D195" s="93">
        <f t="shared" si="19"/>
        <v>2510.3715632753879</v>
      </c>
      <c r="E195" s="93">
        <f t="shared" si="16"/>
        <v>7459.6965886816906</v>
      </c>
      <c r="F195" s="93">
        <f>IF(A195="","",B195*Catálogos!$R$1)</f>
        <v>190.15832176084467</v>
      </c>
      <c r="G195" s="93">
        <f>IF(A195="","",IF(B195=0,0,$B$4*Catálogos!$Q$6))</f>
        <v>0</v>
      </c>
      <c r="H195" s="93">
        <f t="shared" si="20"/>
        <v>0</v>
      </c>
      <c r="I195" s="93">
        <f t="shared" si="21"/>
        <v>7649.8549104425356</v>
      </c>
      <c r="J195" s="96">
        <f t="shared" si="22"/>
        <v>7649.8549104425356</v>
      </c>
      <c r="K195" s="96"/>
      <c r="L195" s="96"/>
    </row>
    <row r="196" spans="1:12" x14ac:dyDescent="0.25">
      <c r="A196">
        <f t="shared" si="17"/>
        <v>190</v>
      </c>
      <c r="B196" s="96">
        <f t="shared" si="23"/>
        <v>311981.21124266816</v>
      </c>
      <c r="C196" s="96">
        <f t="shared" si="18"/>
        <v>4988.5280790075431</v>
      </c>
      <c r="D196" s="93">
        <f t="shared" si="19"/>
        <v>2471.1685096741476</v>
      </c>
      <c r="E196" s="93">
        <f t="shared" si="16"/>
        <v>7459.6965886816906</v>
      </c>
      <c r="F196" s="93">
        <f>IF(A196="","",B196*Catálogos!$R$1)</f>
        <v>187.18872674560089</v>
      </c>
      <c r="G196" s="93">
        <f>IF(A196="","",IF(B196=0,0,$B$4*Catálogos!$Q$6))</f>
        <v>0</v>
      </c>
      <c r="H196" s="93">
        <f t="shared" si="20"/>
        <v>0</v>
      </c>
      <c r="I196" s="93">
        <f t="shared" si="21"/>
        <v>7646.8853154272911</v>
      </c>
      <c r="J196" s="96">
        <f t="shared" si="22"/>
        <v>7646.8853154272911</v>
      </c>
      <c r="K196" s="96"/>
      <c r="L196" s="96"/>
    </row>
    <row r="197" spans="1:12" x14ac:dyDescent="0.25">
      <c r="A197">
        <f t="shared" si="17"/>
        <v>191</v>
      </c>
      <c r="B197" s="96">
        <f t="shared" si="23"/>
        <v>306992.68316366064</v>
      </c>
      <c r="C197" s="96">
        <f t="shared" si="18"/>
        <v>5028.0416556404634</v>
      </c>
      <c r="D197" s="93">
        <f t="shared" si="19"/>
        <v>2431.6549330412267</v>
      </c>
      <c r="E197" s="93">
        <f t="shared" si="16"/>
        <v>7459.6965886816906</v>
      </c>
      <c r="F197" s="93">
        <f>IF(A197="","",B197*Catálogos!$R$1)</f>
        <v>184.19560989819635</v>
      </c>
      <c r="G197" s="93">
        <f>IF(A197="","",IF(B197=0,0,$B$4*Catálogos!$Q$6))</f>
        <v>0</v>
      </c>
      <c r="H197" s="93">
        <f t="shared" si="20"/>
        <v>0</v>
      </c>
      <c r="I197" s="93">
        <f t="shared" si="21"/>
        <v>7643.892198579887</v>
      </c>
      <c r="J197" s="96">
        <f t="shared" si="22"/>
        <v>7643.892198579887</v>
      </c>
      <c r="K197" s="96"/>
      <c r="L197" s="96"/>
    </row>
    <row r="198" spans="1:12" x14ac:dyDescent="0.25">
      <c r="A198">
        <f t="shared" si="17"/>
        <v>192</v>
      </c>
      <c r="B198" s="96">
        <f t="shared" si="23"/>
        <v>301964.64150802017</v>
      </c>
      <c r="C198" s="96">
        <f t="shared" si="18"/>
        <v>5067.8682149234974</v>
      </c>
      <c r="D198" s="93">
        <f t="shared" si="19"/>
        <v>2391.8283737581937</v>
      </c>
      <c r="E198" s="93">
        <f t="shared" si="16"/>
        <v>7459.6965886816906</v>
      </c>
      <c r="F198" s="93">
        <f>IF(A198="","",B198*Catálogos!$R$1)</f>
        <v>181.17878490481209</v>
      </c>
      <c r="G198" s="93">
        <f>IF(A198="","",IF(B198=0,0,$B$4*Catálogos!$Q$6))</f>
        <v>0</v>
      </c>
      <c r="H198" s="93">
        <f t="shared" si="20"/>
        <v>0</v>
      </c>
      <c r="I198" s="93">
        <f t="shared" si="21"/>
        <v>7640.875373586503</v>
      </c>
      <c r="J198" s="96">
        <f t="shared" si="22"/>
        <v>7640.875373586503</v>
      </c>
      <c r="K198" s="96"/>
      <c r="L198" s="96"/>
    </row>
    <row r="199" spans="1:12" x14ac:dyDescent="0.25">
      <c r="A199">
        <f t="shared" si="17"/>
        <v>193</v>
      </c>
      <c r="B199" s="96">
        <f t="shared" si="23"/>
        <v>296896.77329309669</v>
      </c>
      <c r="C199" s="96">
        <f t="shared" si="18"/>
        <v>5108.0102359574375</v>
      </c>
      <c r="D199" s="93">
        <f t="shared" si="19"/>
        <v>2351.6863527242531</v>
      </c>
      <c r="E199" s="93">
        <f t="shared" ref="E199:E246" si="24">IF(A199="","",PMT($B$2/360*30.4,$B$1,-$B$3))</f>
        <v>7459.6965886816906</v>
      </c>
      <c r="F199" s="93">
        <f>IF(A199="","",B199*Catálogos!$R$1)</f>
        <v>178.13806397585799</v>
      </c>
      <c r="G199" s="93">
        <f>IF(A199="","",IF(B199=0,0,$B$4*Catálogos!$Q$6))</f>
        <v>0</v>
      </c>
      <c r="H199" s="93">
        <f t="shared" si="20"/>
        <v>0</v>
      </c>
      <c r="I199" s="93">
        <f t="shared" si="21"/>
        <v>7637.8346526575488</v>
      </c>
      <c r="J199" s="96">
        <f t="shared" si="22"/>
        <v>7637.8346526575488</v>
      </c>
      <c r="K199" s="96"/>
      <c r="L199" s="96"/>
    </row>
    <row r="200" spans="1:12" x14ac:dyDescent="0.25">
      <c r="A200">
        <f t="shared" ref="A200:A246" si="25">IF(A199=$B$1,"",IF(A199="","",A199+1))</f>
        <v>194</v>
      </c>
      <c r="B200" s="96">
        <f t="shared" si="23"/>
        <v>291788.76305713924</v>
      </c>
      <c r="C200" s="96">
        <f t="shared" ref="C200:C246" si="26">IF(A200="","",E200-D200)</f>
        <v>5148.470217479764</v>
      </c>
      <c r="D200" s="93">
        <f t="shared" ref="D200:D246" si="27">IF(A200="","",($B$2/360*30.4)*B200)</f>
        <v>2311.2263712019267</v>
      </c>
      <c r="E200" s="93">
        <f t="shared" si="24"/>
        <v>7459.6965886816906</v>
      </c>
      <c r="F200" s="93">
        <f>IF(A200="","",B200*Catálogos!$R$1)</f>
        <v>175.07325783428354</v>
      </c>
      <c r="G200" s="93">
        <f>IF(A200="","",IF(B200=0,0,$B$4*Catálogos!$Q$6))</f>
        <v>0</v>
      </c>
      <c r="H200" s="93">
        <f t="shared" ref="H200:H246" si="28">IF(A200="","",IF($G$2=1,299,0))</f>
        <v>0</v>
      </c>
      <c r="I200" s="93">
        <f t="shared" ref="I200:I246" si="29">IF(A200="","",SUM(E200:H200))</f>
        <v>7634.7698465159738</v>
      </c>
      <c r="J200" s="96">
        <f t="shared" ref="J200:J246" si="30">I200</f>
        <v>7634.7698465159738</v>
      </c>
      <c r="K200" s="96"/>
      <c r="L200" s="96"/>
    </row>
    <row r="201" spans="1:12" x14ac:dyDescent="0.25">
      <c r="A201">
        <f t="shared" si="25"/>
        <v>195</v>
      </c>
      <c r="B201" s="96">
        <f t="shared" ref="B201:B246" si="31">IF(A201="","",B200-C200)</f>
        <v>286640.29283965949</v>
      </c>
      <c r="C201" s="96">
        <f t="shared" si="26"/>
        <v>5189.2506780201747</v>
      </c>
      <c r="D201" s="93">
        <f t="shared" si="27"/>
        <v>2270.4459106615163</v>
      </c>
      <c r="E201" s="93">
        <f t="shared" si="24"/>
        <v>7459.6965886816906</v>
      </c>
      <c r="F201" s="93">
        <f>IF(A201="","",B201*Catálogos!$R$1)</f>
        <v>171.98417570379567</v>
      </c>
      <c r="G201" s="93">
        <f>IF(A201="","",IF(B201=0,0,$B$4*Catálogos!$Q$6))</f>
        <v>0</v>
      </c>
      <c r="H201" s="93">
        <f t="shared" si="28"/>
        <v>0</v>
      </c>
      <c r="I201" s="93">
        <f t="shared" si="29"/>
        <v>7631.6807643854863</v>
      </c>
      <c r="J201" s="96">
        <f t="shared" si="30"/>
        <v>7631.6807643854863</v>
      </c>
      <c r="K201" s="96"/>
      <c r="L201" s="96"/>
    </row>
    <row r="202" spans="1:12" x14ac:dyDescent="0.25">
      <c r="A202">
        <f t="shared" si="25"/>
        <v>196</v>
      </c>
      <c r="B202" s="96">
        <f t="shared" si="31"/>
        <v>281451.04216163931</v>
      </c>
      <c r="C202" s="96">
        <f t="shared" si="26"/>
        <v>5230.3541560573631</v>
      </c>
      <c r="D202" s="93">
        <f t="shared" si="27"/>
        <v>2229.3424326243271</v>
      </c>
      <c r="E202" s="93">
        <f t="shared" si="24"/>
        <v>7459.6965886816906</v>
      </c>
      <c r="F202" s="93">
        <f>IF(A202="","",B202*Catálogos!$R$1)</f>
        <v>168.87062529698358</v>
      </c>
      <c r="G202" s="93">
        <f>IF(A202="","",IF(B202=0,0,$B$4*Catálogos!$Q$6))</f>
        <v>0</v>
      </c>
      <c r="H202" s="93">
        <f t="shared" si="28"/>
        <v>0</v>
      </c>
      <c r="I202" s="93">
        <f t="shared" si="29"/>
        <v>7628.5672139786739</v>
      </c>
      <c r="J202" s="96">
        <f t="shared" si="30"/>
        <v>7628.5672139786739</v>
      </c>
      <c r="K202" s="96"/>
      <c r="L202" s="96"/>
    </row>
    <row r="203" spans="1:12" x14ac:dyDescent="0.25">
      <c r="A203">
        <f t="shared" si="25"/>
        <v>197</v>
      </c>
      <c r="B203" s="96">
        <f t="shared" si="31"/>
        <v>276220.68800558196</v>
      </c>
      <c r="C203" s="96">
        <f t="shared" si="26"/>
        <v>5271.7832101770327</v>
      </c>
      <c r="D203" s="93">
        <f t="shared" si="27"/>
        <v>2187.9133785046583</v>
      </c>
      <c r="E203" s="93">
        <f t="shared" si="24"/>
        <v>7459.6965886816906</v>
      </c>
      <c r="F203" s="93">
        <f>IF(A203="","",B203*Catálogos!$R$1)</f>
        <v>165.73241280334918</v>
      </c>
      <c r="G203" s="93">
        <f>IF(A203="","",IF(B203=0,0,$B$4*Catálogos!$Q$6))</f>
        <v>0</v>
      </c>
      <c r="H203" s="93">
        <f t="shared" si="28"/>
        <v>0</v>
      </c>
      <c r="I203" s="93">
        <f t="shared" si="29"/>
        <v>7625.4290014850394</v>
      </c>
      <c r="J203" s="96">
        <f t="shared" si="30"/>
        <v>7625.4290014850394</v>
      </c>
      <c r="K203" s="96"/>
      <c r="L203" s="96"/>
    </row>
    <row r="204" spans="1:12" x14ac:dyDescent="0.25">
      <c r="A204">
        <f t="shared" si="25"/>
        <v>198</v>
      </c>
      <c r="B204" s="96">
        <f t="shared" si="31"/>
        <v>270948.90479540493</v>
      </c>
      <c r="C204" s="96">
        <f t="shared" si="26"/>
        <v>5313.5404192311544</v>
      </c>
      <c r="D204" s="93">
        <f t="shared" si="27"/>
        <v>2146.1561694505363</v>
      </c>
      <c r="E204" s="93">
        <f t="shared" si="24"/>
        <v>7459.6965886816906</v>
      </c>
      <c r="F204" s="93">
        <f>IF(A204="","",B204*Catálogos!$R$1)</f>
        <v>162.56934287724295</v>
      </c>
      <c r="G204" s="93">
        <f>IF(A204="","",IF(B204=0,0,$B$4*Catálogos!$Q$6))</f>
        <v>0</v>
      </c>
      <c r="H204" s="93">
        <f t="shared" si="28"/>
        <v>0</v>
      </c>
      <c r="I204" s="93">
        <f t="shared" si="29"/>
        <v>7622.2659315589335</v>
      </c>
      <c r="J204" s="96">
        <f t="shared" si="30"/>
        <v>7622.2659315589335</v>
      </c>
      <c r="K204" s="96"/>
      <c r="L204" s="96"/>
    </row>
    <row r="205" spans="1:12" x14ac:dyDescent="0.25">
      <c r="A205">
        <f t="shared" si="25"/>
        <v>199</v>
      </c>
      <c r="B205" s="96">
        <f t="shared" si="31"/>
        <v>265635.36437617376</v>
      </c>
      <c r="C205" s="96">
        <f t="shared" si="26"/>
        <v>5355.6283824985039</v>
      </c>
      <c r="D205" s="93">
        <f t="shared" si="27"/>
        <v>2104.0682061831862</v>
      </c>
      <c r="E205" s="93">
        <f t="shared" si="24"/>
        <v>7459.6965886816906</v>
      </c>
      <c r="F205" s="93">
        <f>IF(A205="","",B205*Catálogos!$R$1)</f>
        <v>159.38121862570424</v>
      </c>
      <c r="G205" s="93">
        <f>IF(A205="","",IF(B205=0,0,$B$4*Catálogos!$Q$6))</f>
        <v>0</v>
      </c>
      <c r="H205" s="93">
        <f t="shared" si="28"/>
        <v>0</v>
      </c>
      <c r="I205" s="93">
        <f t="shared" si="29"/>
        <v>7619.0778073073952</v>
      </c>
      <c r="J205" s="96">
        <f t="shared" si="30"/>
        <v>7619.0778073073952</v>
      </c>
      <c r="K205" s="96"/>
      <c r="L205" s="96"/>
    </row>
    <row r="206" spans="1:12" x14ac:dyDescent="0.25">
      <c r="A206">
        <f t="shared" si="25"/>
        <v>200</v>
      </c>
      <c r="B206" s="96">
        <f t="shared" si="31"/>
        <v>260279.73599367525</v>
      </c>
      <c r="C206" s="96">
        <f t="shared" si="26"/>
        <v>5398.0497198464545</v>
      </c>
      <c r="D206" s="93">
        <f t="shared" si="27"/>
        <v>2061.6468688352356</v>
      </c>
      <c r="E206" s="93">
        <f t="shared" si="24"/>
        <v>7459.6965886816906</v>
      </c>
      <c r="F206" s="93">
        <f>IF(A206="","",B206*Catálogos!$R$1)</f>
        <v>156.16784159620514</v>
      </c>
      <c r="G206" s="93">
        <f>IF(A206="","",IF(B206=0,0,$B$4*Catálogos!$Q$6))</f>
        <v>0</v>
      </c>
      <c r="H206" s="93">
        <f t="shared" si="28"/>
        <v>0</v>
      </c>
      <c r="I206" s="93">
        <f t="shared" si="29"/>
        <v>7615.8644302778957</v>
      </c>
      <c r="J206" s="96">
        <f t="shared" si="30"/>
        <v>7615.8644302778957</v>
      </c>
      <c r="K206" s="96"/>
      <c r="L206" s="96"/>
    </row>
    <row r="207" spans="1:12" x14ac:dyDescent="0.25">
      <c r="A207">
        <f t="shared" si="25"/>
        <v>201</v>
      </c>
      <c r="B207" s="96">
        <f t="shared" si="31"/>
        <v>254881.68627382879</v>
      </c>
      <c r="C207" s="96">
        <f t="shared" si="26"/>
        <v>5440.8070718940562</v>
      </c>
      <c r="D207" s="93">
        <f t="shared" si="27"/>
        <v>2018.889516787634</v>
      </c>
      <c r="E207" s="93">
        <f t="shared" si="24"/>
        <v>7459.6965886816906</v>
      </c>
      <c r="F207" s="93">
        <f>IF(A207="","",B207*Catálogos!$R$1)</f>
        <v>152.92901176429726</v>
      </c>
      <c r="G207" s="93">
        <f>IF(A207="","",IF(B207=0,0,$B$4*Catálogos!$Q$6))</f>
        <v>0</v>
      </c>
      <c r="H207" s="93">
        <f t="shared" si="28"/>
        <v>0</v>
      </c>
      <c r="I207" s="93">
        <f t="shared" si="29"/>
        <v>7612.6256004459883</v>
      </c>
      <c r="J207" s="96">
        <f t="shared" si="30"/>
        <v>7612.6256004459883</v>
      </c>
      <c r="K207" s="96"/>
      <c r="L207" s="96"/>
    </row>
    <row r="208" spans="1:12" x14ac:dyDescent="0.25">
      <c r="A208">
        <f t="shared" si="25"/>
        <v>202</v>
      </c>
      <c r="B208" s="96">
        <f t="shared" si="31"/>
        <v>249440.87920193473</v>
      </c>
      <c r="C208" s="96">
        <f t="shared" si="26"/>
        <v>5483.9031001764106</v>
      </c>
      <c r="D208" s="93">
        <f t="shared" si="27"/>
        <v>1975.7934885052803</v>
      </c>
      <c r="E208" s="93">
        <f t="shared" si="24"/>
        <v>7459.6965886816906</v>
      </c>
      <c r="F208" s="93">
        <f>IF(A208="","",B208*Catálogos!$R$1)</f>
        <v>149.66452752116084</v>
      </c>
      <c r="G208" s="93">
        <f>IF(A208="","",IF(B208=0,0,$B$4*Catálogos!$Q$6))</f>
        <v>0</v>
      </c>
      <c r="H208" s="93">
        <f t="shared" si="28"/>
        <v>0</v>
      </c>
      <c r="I208" s="93">
        <f t="shared" si="29"/>
        <v>7609.3611162028519</v>
      </c>
      <c r="J208" s="96">
        <f t="shared" si="30"/>
        <v>7609.3611162028519</v>
      </c>
      <c r="K208" s="96"/>
      <c r="L208" s="96"/>
    </row>
    <row r="209" spans="1:12" x14ac:dyDescent="0.25">
      <c r="A209">
        <f t="shared" si="25"/>
        <v>203</v>
      </c>
      <c r="B209" s="96">
        <f t="shared" si="31"/>
        <v>243956.97610175831</v>
      </c>
      <c r="C209" s="96">
        <f t="shared" si="26"/>
        <v>5527.3404873103409</v>
      </c>
      <c r="D209" s="93">
        <f t="shared" si="27"/>
        <v>1932.3561013713495</v>
      </c>
      <c r="E209" s="93">
        <f t="shared" si="24"/>
        <v>7459.6965886816906</v>
      </c>
      <c r="F209" s="93">
        <f>IF(A209="","",B209*Catálogos!$R$1)</f>
        <v>146.37418566105498</v>
      </c>
      <c r="G209" s="93">
        <f>IF(A209="","",IF(B209=0,0,$B$4*Catálogos!$Q$6))</f>
        <v>0</v>
      </c>
      <c r="H209" s="93">
        <f t="shared" si="28"/>
        <v>0</v>
      </c>
      <c r="I209" s="93">
        <f t="shared" si="29"/>
        <v>7606.0707743427456</v>
      </c>
      <c r="J209" s="96">
        <f t="shared" si="30"/>
        <v>7606.0707743427456</v>
      </c>
      <c r="K209" s="96"/>
      <c r="L209" s="96"/>
    </row>
    <row r="210" spans="1:12" x14ac:dyDescent="0.25">
      <c r="A210">
        <f t="shared" si="25"/>
        <v>204</v>
      </c>
      <c r="B210" s="96">
        <f t="shared" si="31"/>
        <v>238429.63561444797</v>
      </c>
      <c r="C210" s="96">
        <f t="shared" si="26"/>
        <v>5571.1219371613834</v>
      </c>
      <c r="D210" s="93">
        <f t="shared" si="27"/>
        <v>1888.5746515203073</v>
      </c>
      <c r="E210" s="93">
        <f t="shared" si="24"/>
        <v>7459.6965886816906</v>
      </c>
      <c r="F210" s="93">
        <f>IF(A210="","",B210*Catálogos!$R$1)</f>
        <v>143.05778136866877</v>
      </c>
      <c r="G210" s="93">
        <f>IF(A210="","",IF(B210=0,0,$B$4*Catálogos!$Q$6))</f>
        <v>0</v>
      </c>
      <c r="H210" s="93">
        <f t="shared" si="28"/>
        <v>0</v>
      </c>
      <c r="I210" s="93">
        <f t="shared" si="29"/>
        <v>7602.7543700503593</v>
      </c>
      <c r="J210" s="96">
        <f t="shared" si="30"/>
        <v>7602.7543700503593</v>
      </c>
      <c r="K210" s="96"/>
      <c r="L210" s="96"/>
    </row>
    <row r="211" spans="1:12" x14ac:dyDescent="0.25">
      <c r="A211">
        <f t="shared" si="25"/>
        <v>205</v>
      </c>
      <c r="B211" s="96">
        <f t="shared" si="31"/>
        <v>232858.5136772866</v>
      </c>
      <c r="C211" s="96">
        <f t="shared" si="26"/>
        <v>5615.25017501209</v>
      </c>
      <c r="D211" s="93">
        <f t="shared" si="27"/>
        <v>1844.4464136696008</v>
      </c>
      <c r="E211" s="93">
        <f t="shared" si="24"/>
        <v>7459.6965886816906</v>
      </c>
      <c r="F211" s="93">
        <f>IF(A211="","",B211*Catálogos!$R$1)</f>
        <v>139.71510820637195</v>
      </c>
      <c r="G211" s="93">
        <f>IF(A211="","",IF(B211=0,0,$B$4*Catálogos!$Q$6))</f>
        <v>0</v>
      </c>
      <c r="H211" s="93">
        <f t="shared" si="28"/>
        <v>0</v>
      </c>
      <c r="I211" s="93">
        <f t="shared" si="29"/>
        <v>7599.4116968880626</v>
      </c>
      <c r="J211" s="96">
        <f t="shared" si="30"/>
        <v>7599.4116968880626</v>
      </c>
      <c r="K211" s="96"/>
      <c r="L211" s="96"/>
    </row>
    <row r="212" spans="1:12" x14ac:dyDescent="0.25">
      <c r="A212">
        <f t="shared" si="25"/>
        <v>206</v>
      </c>
      <c r="B212" s="96">
        <f t="shared" si="31"/>
        <v>227243.26350227449</v>
      </c>
      <c r="C212" s="96">
        <f t="shared" si="26"/>
        <v>5659.7279477316752</v>
      </c>
      <c r="D212" s="93">
        <f t="shared" si="27"/>
        <v>1799.9686409500159</v>
      </c>
      <c r="E212" s="93">
        <f t="shared" si="24"/>
        <v>7459.6965886816906</v>
      </c>
      <c r="F212" s="93">
        <f>IF(A212="","",B212*Catálogos!$R$1)</f>
        <v>136.34595810136469</v>
      </c>
      <c r="G212" s="93">
        <f>IF(A212="","",IF(B212=0,0,$B$4*Catálogos!$Q$6))</f>
        <v>0</v>
      </c>
      <c r="H212" s="93">
        <f t="shared" si="28"/>
        <v>0</v>
      </c>
      <c r="I212" s="93">
        <f t="shared" si="29"/>
        <v>7596.0425467830555</v>
      </c>
      <c r="J212" s="96">
        <f t="shared" si="30"/>
        <v>7596.0425467830555</v>
      </c>
      <c r="K212" s="96"/>
      <c r="L212" s="96"/>
    </row>
    <row r="213" spans="1:12" x14ac:dyDescent="0.25">
      <c r="A213">
        <f t="shared" si="25"/>
        <v>207</v>
      </c>
      <c r="B213" s="96">
        <f t="shared" si="31"/>
        <v>221583.53555454282</v>
      </c>
      <c r="C213" s="96">
        <f t="shared" si="26"/>
        <v>5704.5580239469964</v>
      </c>
      <c r="D213" s="93">
        <f t="shared" si="27"/>
        <v>1755.1385647346942</v>
      </c>
      <c r="E213" s="93">
        <f t="shared" si="24"/>
        <v>7459.6965886816906</v>
      </c>
      <c r="F213" s="93">
        <f>IF(A213="","",B213*Catálogos!$R$1)</f>
        <v>132.95012133272567</v>
      </c>
      <c r="G213" s="93">
        <f>IF(A213="","",IF(B213=0,0,$B$4*Catálogos!$Q$6))</f>
        <v>0</v>
      </c>
      <c r="H213" s="93">
        <f t="shared" si="28"/>
        <v>0</v>
      </c>
      <c r="I213" s="93">
        <f t="shared" si="29"/>
        <v>7592.6467100144164</v>
      </c>
      <c r="J213" s="96">
        <f t="shared" si="30"/>
        <v>7592.6467100144164</v>
      </c>
      <c r="K213" s="96"/>
      <c r="L213" s="96"/>
    </row>
    <row r="214" spans="1:12" x14ac:dyDescent="0.25">
      <c r="A214">
        <f t="shared" si="25"/>
        <v>208</v>
      </c>
      <c r="B214" s="96">
        <f t="shared" si="31"/>
        <v>215878.97753059582</v>
      </c>
      <c r="C214" s="96">
        <f t="shared" si="26"/>
        <v>5749.7431942148996</v>
      </c>
      <c r="D214" s="93">
        <f t="shared" si="27"/>
        <v>1709.9533944667905</v>
      </c>
      <c r="E214" s="93">
        <f t="shared" si="24"/>
        <v>7459.6965886816906</v>
      </c>
      <c r="F214" s="93">
        <f>IF(A214="","",B214*Catálogos!$R$1)</f>
        <v>129.52738651835747</v>
      </c>
      <c r="G214" s="93">
        <f>IF(A214="","",IF(B214=0,0,$B$4*Catálogos!$Q$6))</f>
        <v>0</v>
      </c>
      <c r="H214" s="93">
        <f t="shared" si="28"/>
        <v>0</v>
      </c>
      <c r="I214" s="93">
        <f t="shared" si="29"/>
        <v>7589.2239752000478</v>
      </c>
      <c r="J214" s="96">
        <f t="shared" si="30"/>
        <v>7589.2239752000478</v>
      </c>
      <c r="K214" s="96"/>
      <c r="L214" s="96"/>
    </row>
    <row r="215" spans="1:12" x14ac:dyDescent="0.25">
      <c r="A215">
        <f t="shared" si="25"/>
        <v>209</v>
      </c>
      <c r="B215" s="96">
        <f t="shared" si="31"/>
        <v>210129.23433638091</v>
      </c>
      <c r="C215" s="96">
        <f t="shared" si="26"/>
        <v>5795.2862711959215</v>
      </c>
      <c r="D215" s="93">
        <f t="shared" si="27"/>
        <v>1664.4103174857692</v>
      </c>
      <c r="E215" s="93">
        <f t="shared" si="24"/>
        <v>7459.6965886816906</v>
      </c>
      <c r="F215" s="93">
        <f>IF(A215="","",B215*Catálogos!$R$1)</f>
        <v>126.07754060182853</v>
      </c>
      <c r="G215" s="93">
        <f>IF(A215="","",IF(B215=0,0,$B$4*Catálogos!$Q$6))</f>
        <v>0</v>
      </c>
      <c r="H215" s="93">
        <f t="shared" si="28"/>
        <v>0</v>
      </c>
      <c r="I215" s="93">
        <f t="shared" si="29"/>
        <v>7585.774129283519</v>
      </c>
      <c r="J215" s="96">
        <f t="shared" si="30"/>
        <v>7585.774129283519</v>
      </c>
      <c r="K215" s="96"/>
      <c r="L215" s="96"/>
    </row>
    <row r="216" spans="1:12" x14ac:dyDescent="0.25">
      <c r="A216">
        <f t="shared" si="25"/>
        <v>210</v>
      </c>
      <c r="B216" s="96">
        <f t="shared" si="31"/>
        <v>204333.94806518499</v>
      </c>
      <c r="C216" s="96">
        <f t="shared" si="26"/>
        <v>5841.1900898293679</v>
      </c>
      <c r="D216" s="93">
        <f t="shared" si="27"/>
        <v>1618.5064988523229</v>
      </c>
      <c r="E216" s="93">
        <f t="shared" si="24"/>
        <v>7459.6965886816906</v>
      </c>
      <c r="F216" s="93">
        <f>IF(A216="","",B216*Catálogos!$R$1)</f>
        <v>122.60036883911098</v>
      </c>
      <c r="G216" s="93">
        <f>IF(A216="","",IF(B216=0,0,$B$4*Catálogos!$Q$6))</f>
        <v>0</v>
      </c>
      <c r="H216" s="93">
        <f t="shared" si="28"/>
        <v>0</v>
      </c>
      <c r="I216" s="93">
        <f t="shared" si="29"/>
        <v>7582.2969575208017</v>
      </c>
      <c r="J216" s="96">
        <f t="shared" si="30"/>
        <v>7582.2969575208017</v>
      </c>
      <c r="K216" s="96"/>
      <c r="L216" s="96"/>
    </row>
    <row r="217" spans="1:12" x14ac:dyDescent="0.25">
      <c r="A217">
        <f t="shared" si="25"/>
        <v>211</v>
      </c>
      <c r="B217" s="96">
        <f t="shared" si="31"/>
        <v>198492.75797535561</v>
      </c>
      <c r="C217" s="96">
        <f t="shared" si="26"/>
        <v>5887.4575075097855</v>
      </c>
      <c r="D217" s="93">
        <f t="shared" si="27"/>
        <v>1572.2390811719056</v>
      </c>
      <c r="E217" s="93">
        <f t="shared" si="24"/>
        <v>7459.6965886816906</v>
      </c>
      <c r="F217" s="93">
        <f>IF(A217="","",B217*Catálogos!$R$1)</f>
        <v>119.09565478521336</v>
      </c>
      <c r="G217" s="93">
        <f>IF(A217="","",IF(B217=0,0,$B$4*Catálogos!$Q$6))</f>
        <v>0</v>
      </c>
      <c r="H217" s="93">
        <f t="shared" si="28"/>
        <v>0</v>
      </c>
      <c r="I217" s="93">
        <f t="shared" si="29"/>
        <v>7578.7922434669035</v>
      </c>
      <c r="J217" s="96">
        <f t="shared" si="30"/>
        <v>7578.7922434669035</v>
      </c>
      <c r="K217" s="96"/>
      <c r="L217" s="96"/>
    </row>
    <row r="218" spans="1:12" x14ac:dyDescent="0.25">
      <c r="A218">
        <f t="shared" si="25"/>
        <v>212</v>
      </c>
      <c r="B218" s="96">
        <f t="shared" si="31"/>
        <v>192605.30046784581</v>
      </c>
      <c r="C218" s="96">
        <f t="shared" si="26"/>
        <v>5934.0914042648246</v>
      </c>
      <c r="D218" s="93">
        <f t="shared" si="27"/>
        <v>1525.6051844168658</v>
      </c>
      <c r="E218" s="93">
        <f t="shared" si="24"/>
        <v>7459.6965886816906</v>
      </c>
      <c r="F218" s="93">
        <f>IF(A218="","",B218*Catálogos!$R$1)</f>
        <v>115.56318028070747</v>
      </c>
      <c r="G218" s="93">
        <f>IF(A218="","",IF(B218=0,0,$B$4*Catálogos!$Q$6))</f>
        <v>0</v>
      </c>
      <c r="H218" s="93">
        <f t="shared" si="28"/>
        <v>0</v>
      </c>
      <c r="I218" s="93">
        <f t="shared" si="29"/>
        <v>7575.2597689623981</v>
      </c>
      <c r="J218" s="96">
        <f t="shared" si="30"/>
        <v>7575.2597689623981</v>
      </c>
      <c r="K218" s="96"/>
      <c r="L218" s="96"/>
    </row>
    <row r="219" spans="1:12" x14ac:dyDescent="0.25">
      <c r="A219">
        <f t="shared" si="25"/>
        <v>213</v>
      </c>
      <c r="B219" s="96">
        <f t="shared" si="31"/>
        <v>186671.20906358099</v>
      </c>
      <c r="C219" s="96">
        <f t="shared" si="26"/>
        <v>5981.0946829345176</v>
      </c>
      <c r="D219" s="93">
        <f t="shared" si="27"/>
        <v>1478.6019057471735</v>
      </c>
      <c r="E219" s="93">
        <f t="shared" si="24"/>
        <v>7459.6965886816906</v>
      </c>
      <c r="F219" s="93">
        <f>IF(A219="","",B219*Catálogos!$R$1)</f>
        <v>112.00272543814859</v>
      </c>
      <c r="G219" s="93">
        <f>IF(A219="","",IF(B219=0,0,$B$4*Catálogos!$Q$6))</f>
        <v>0</v>
      </c>
      <c r="H219" s="93">
        <f t="shared" si="28"/>
        <v>0</v>
      </c>
      <c r="I219" s="93">
        <f t="shared" si="29"/>
        <v>7571.6993141198391</v>
      </c>
      <c r="J219" s="96">
        <f t="shared" si="30"/>
        <v>7571.6993141198391</v>
      </c>
      <c r="K219" s="96"/>
      <c r="L219" s="96"/>
    </row>
    <row r="220" spans="1:12" x14ac:dyDescent="0.25">
      <c r="A220">
        <f t="shared" si="25"/>
        <v>214</v>
      </c>
      <c r="B220" s="96">
        <f t="shared" si="31"/>
        <v>180690.11438064647</v>
      </c>
      <c r="C220" s="96">
        <f t="shared" si="26"/>
        <v>6028.4702693519657</v>
      </c>
      <c r="D220" s="93">
        <f t="shared" si="27"/>
        <v>1431.2263193297251</v>
      </c>
      <c r="E220" s="93">
        <f t="shared" si="24"/>
        <v>7459.6965886816906</v>
      </c>
      <c r="F220" s="93">
        <f>IF(A220="","",B220*Catálogos!$R$1)</f>
        <v>108.41406862838787</v>
      </c>
      <c r="G220" s="93">
        <f>IF(A220="","",IF(B220=0,0,$B$4*Catálogos!$Q$6))</f>
        <v>0</v>
      </c>
      <c r="H220" s="93">
        <f t="shared" si="28"/>
        <v>0</v>
      </c>
      <c r="I220" s="93">
        <f t="shared" si="29"/>
        <v>7568.1106573100788</v>
      </c>
      <c r="J220" s="96">
        <f t="shared" si="30"/>
        <v>7568.1106573100788</v>
      </c>
      <c r="K220" s="96"/>
      <c r="L220" s="96"/>
    </row>
    <row r="221" spans="1:12" x14ac:dyDescent="0.25">
      <c r="A221">
        <f t="shared" si="25"/>
        <v>215</v>
      </c>
      <c r="B221" s="96">
        <f t="shared" si="31"/>
        <v>174661.6441112945</v>
      </c>
      <c r="C221" s="96">
        <f t="shared" si="26"/>
        <v>6076.2211125254726</v>
      </c>
      <c r="D221" s="93">
        <f t="shared" si="27"/>
        <v>1383.4754761562181</v>
      </c>
      <c r="E221" s="93">
        <f t="shared" si="24"/>
        <v>7459.6965886816906</v>
      </c>
      <c r="F221" s="93">
        <f>IF(A221="","",B221*Catálogos!$R$1)</f>
        <v>104.79698646677669</v>
      </c>
      <c r="G221" s="93">
        <f>IF(A221="","",IF(B221=0,0,$B$4*Catálogos!$Q$6))</f>
        <v>0</v>
      </c>
      <c r="H221" s="93">
        <f t="shared" si="28"/>
        <v>0</v>
      </c>
      <c r="I221" s="93">
        <f t="shared" si="29"/>
        <v>7564.4935751484672</v>
      </c>
      <c r="J221" s="96">
        <f t="shared" si="30"/>
        <v>7564.4935751484672</v>
      </c>
      <c r="K221" s="96"/>
      <c r="L221" s="96"/>
    </row>
    <row r="222" spans="1:12" x14ac:dyDescent="0.25">
      <c r="A222">
        <f t="shared" si="25"/>
        <v>216</v>
      </c>
      <c r="B222" s="96">
        <f t="shared" si="31"/>
        <v>168585.42299876903</v>
      </c>
      <c r="C222" s="96">
        <f t="shared" si="26"/>
        <v>6124.3501848221076</v>
      </c>
      <c r="D222" s="93">
        <f t="shared" si="27"/>
        <v>1335.346403859583</v>
      </c>
      <c r="E222" s="93">
        <f t="shared" si="24"/>
        <v>7459.6965886816906</v>
      </c>
      <c r="F222" s="93">
        <f>IF(A222="","",B222*Catálogos!$R$1)</f>
        <v>101.15125379926141</v>
      </c>
      <c r="G222" s="93">
        <f>IF(A222="","",IF(B222=0,0,$B$4*Catálogos!$Q$6))</f>
        <v>0</v>
      </c>
      <c r="H222" s="93">
        <f t="shared" si="28"/>
        <v>0</v>
      </c>
      <c r="I222" s="93">
        <f t="shared" si="29"/>
        <v>7560.8478424809518</v>
      </c>
      <c r="J222" s="96">
        <f t="shared" si="30"/>
        <v>7560.8478424809518</v>
      </c>
      <c r="K222" s="96"/>
      <c r="L222" s="96"/>
    </row>
    <row r="223" spans="1:12" x14ac:dyDescent="0.25">
      <c r="A223">
        <f t="shared" si="25"/>
        <v>217</v>
      </c>
      <c r="B223" s="96">
        <f t="shared" si="31"/>
        <v>162461.07281394693</v>
      </c>
      <c r="C223" s="96">
        <f t="shared" si="26"/>
        <v>6172.8604821527297</v>
      </c>
      <c r="D223" s="93">
        <f t="shared" si="27"/>
        <v>1286.836106528961</v>
      </c>
      <c r="E223" s="93">
        <f t="shared" si="24"/>
        <v>7459.6965886816906</v>
      </c>
      <c r="F223" s="93">
        <f>IF(A223="","",B223*Catálogos!$R$1)</f>
        <v>97.476643688368142</v>
      </c>
      <c r="G223" s="93">
        <f>IF(A223="","",IF(B223=0,0,$B$4*Catálogos!$Q$6))</f>
        <v>0</v>
      </c>
      <c r="H223" s="93">
        <f t="shared" si="28"/>
        <v>0</v>
      </c>
      <c r="I223" s="93">
        <f t="shared" si="29"/>
        <v>7557.1732323700589</v>
      </c>
      <c r="J223" s="96">
        <f t="shared" si="30"/>
        <v>7557.1732323700589</v>
      </c>
      <c r="K223" s="96"/>
      <c r="L223" s="96"/>
    </row>
    <row r="224" spans="1:12" x14ac:dyDescent="0.25">
      <c r="A224">
        <f t="shared" si="25"/>
        <v>218</v>
      </c>
      <c r="B224" s="96">
        <f t="shared" si="31"/>
        <v>156288.2123317942</v>
      </c>
      <c r="C224" s="96">
        <f t="shared" si="26"/>
        <v>6221.755024158474</v>
      </c>
      <c r="D224" s="93">
        <f t="shared" si="27"/>
        <v>1237.9415645232161</v>
      </c>
      <c r="E224" s="93">
        <f t="shared" si="24"/>
        <v>7459.6965886816906</v>
      </c>
      <c r="F224" s="93">
        <f>IF(A224="","",B224*Catálogos!$R$1)</f>
        <v>93.772927399076508</v>
      </c>
      <c r="G224" s="93">
        <f>IF(A224="","",IF(B224=0,0,$B$4*Catálogos!$Q$6))</f>
        <v>0</v>
      </c>
      <c r="H224" s="93">
        <f t="shared" si="28"/>
        <v>0</v>
      </c>
      <c r="I224" s="93">
        <f t="shared" si="29"/>
        <v>7553.4695160807669</v>
      </c>
      <c r="J224" s="96">
        <f t="shared" si="30"/>
        <v>7553.4695160807669</v>
      </c>
      <c r="K224" s="96"/>
      <c r="L224" s="96"/>
    </row>
    <row r="225" spans="1:12" x14ac:dyDescent="0.25">
      <c r="A225">
        <f t="shared" si="25"/>
        <v>219</v>
      </c>
      <c r="B225" s="96">
        <f t="shared" si="31"/>
        <v>150066.45730763572</v>
      </c>
      <c r="C225" s="96">
        <f t="shared" si="26"/>
        <v>6271.0368543987206</v>
      </c>
      <c r="D225" s="93">
        <f t="shared" si="27"/>
        <v>1188.6597342829705</v>
      </c>
      <c r="E225" s="93">
        <f t="shared" si="24"/>
        <v>7459.6965886816906</v>
      </c>
      <c r="F225" s="93">
        <f>IF(A225="","",B225*Catálogos!$R$1)</f>
        <v>90.039874384581424</v>
      </c>
      <c r="G225" s="93">
        <f>IF(A225="","",IF(B225=0,0,$B$4*Catálogos!$Q$6))</f>
        <v>0</v>
      </c>
      <c r="H225" s="93">
        <f t="shared" si="28"/>
        <v>0</v>
      </c>
      <c r="I225" s="93">
        <f t="shared" si="29"/>
        <v>7549.7364630662723</v>
      </c>
      <c r="J225" s="96">
        <f t="shared" si="30"/>
        <v>7549.7364630662723</v>
      </c>
      <c r="K225" s="96"/>
      <c r="L225" s="96"/>
    </row>
    <row r="226" spans="1:12" x14ac:dyDescent="0.25">
      <c r="A226">
        <f t="shared" si="25"/>
        <v>220</v>
      </c>
      <c r="B226" s="96">
        <f t="shared" si="31"/>
        <v>143795.42045323699</v>
      </c>
      <c r="C226" s="96">
        <f t="shared" si="26"/>
        <v>6320.7090405405397</v>
      </c>
      <c r="D226" s="93">
        <f t="shared" si="27"/>
        <v>1138.9875481411509</v>
      </c>
      <c r="E226" s="93">
        <f t="shared" si="24"/>
        <v>7459.6965886816906</v>
      </c>
      <c r="F226" s="93">
        <f>IF(A226="","",B226*Catálogos!$R$1)</f>
        <v>86.277252271942189</v>
      </c>
      <c r="G226" s="93">
        <f>IF(A226="","",IF(B226=0,0,$B$4*Catálogos!$Q$6))</f>
        <v>0</v>
      </c>
      <c r="H226" s="93">
        <f t="shared" si="28"/>
        <v>0</v>
      </c>
      <c r="I226" s="93">
        <f t="shared" si="29"/>
        <v>7545.973840953633</v>
      </c>
      <c r="J226" s="96">
        <f t="shared" si="30"/>
        <v>7545.973840953633</v>
      </c>
      <c r="K226" s="96"/>
      <c r="L226" s="96"/>
    </row>
    <row r="227" spans="1:12" x14ac:dyDescent="0.25">
      <c r="A227">
        <f t="shared" si="25"/>
        <v>221</v>
      </c>
      <c r="B227" s="96">
        <f t="shared" si="31"/>
        <v>137474.71141269646</v>
      </c>
      <c r="C227" s="96">
        <f t="shared" si="26"/>
        <v>6370.774674549657</v>
      </c>
      <c r="D227" s="93">
        <f t="shared" si="27"/>
        <v>1088.9219141320339</v>
      </c>
      <c r="E227" s="93">
        <f t="shared" si="24"/>
        <v>7459.6965886816906</v>
      </c>
      <c r="F227" s="93">
        <f>IF(A227="","",B227*Catálogos!$R$1)</f>
        <v>82.484826847617867</v>
      </c>
      <c r="G227" s="93">
        <f>IF(A227="","",IF(B227=0,0,$B$4*Catálogos!$Q$6))</f>
        <v>0</v>
      </c>
      <c r="H227" s="93">
        <f t="shared" si="28"/>
        <v>0</v>
      </c>
      <c r="I227" s="93">
        <f t="shared" si="29"/>
        <v>7542.1814155293087</v>
      </c>
      <c r="J227" s="96">
        <f t="shared" si="30"/>
        <v>7542.1814155293087</v>
      </c>
      <c r="K227" s="96"/>
      <c r="L227" s="96"/>
    </row>
    <row r="228" spans="1:12" x14ac:dyDescent="0.25">
      <c r="A228">
        <f t="shared" si="25"/>
        <v>222</v>
      </c>
      <c r="B228" s="96">
        <f t="shared" si="31"/>
        <v>131103.93673814679</v>
      </c>
      <c r="C228" s="96">
        <f t="shared" si="26"/>
        <v>6421.2368728829115</v>
      </c>
      <c r="D228" s="93">
        <f t="shared" si="27"/>
        <v>1038.4597157987787</v>
      </c>
      <c r="E228" s="93">
        <f t="shared" si="24"/>
        <v>7459.6965886816906</v>
      </c>
      <c r="F228" s="93">
        <f>IF(A228="","",B228*Catálogos!$R$1)</f>
        <v>78.662362042888063</v>
      </c>
      <c r="G228" s="93">
        <f>IF(A228="","",IF(B228=0,0,$B$4*Catálogos!$Q$6))</f>
        <v>0</v>
      </c>
      <c r="H228" s="93">
        <f t="shared" si="28"/>
        <v>0</v>
      </c>
      <c r="I228" s="93">
        <f t="shared" si="29"/>
        <v>7538.3589507245788</v>
      </c>
      <c r="J228" s="96">
        <f t="shared" si="30"/>
        <v>7538.3589507245788</v>
      </c>
      <c r="K228" s="96"/>
      <c r="L228" s="96"/>
    </row>
    <row r="229" spans="1:12" x14ac:dyDescent="0.25">
      <c r="A229">
        <f t="shared" si="25"/>
        <v>223</v>
      </c>
      <c r="B229" s="96">
        <f t="shared" si="31"/>
        <v>124682.69986526387</v>
      </c>
      <c r="C229" s="96">
        <f t="shared" si="26"/>
        <v>6472.0987766822536</v>
      </c>
      <c r="D229" s="93">
        <f t="shared" si="27"/>
        <v>987.59781199943677</v>
      </c>
      <c r="E229" s="93">
        <f t="shared" si="24"/>
        <v>7459.6965886816906</v>
      </c>
      <c r="F229" s="93">
        <f>IF(A229="","",B229*Catálogos!$R$1)</f>
        <v>74.809619919158322</v>
      </c>
      <c r="G229" s="93">
        <f>IF(A229="","",IF(B229=0,0,$B$4*Catálogos!$Q$6))</f>
        <v>0</v>
      </c>
      <c r="H229" s="93">
        <f t="shared" si="28"/>
        <v>0</v>
      </c>
      <c r="I229" s="93">
        <f t="shared" si="29"/>
        <v>7534.5062086008493</v>
      </c>
      <c r="J229" s="96">
        <f t="shared" si="30"/>
        <v>7534.5062086008493</v>
      </c>
      <c r="K229" s="96"/>
      <c r="L229" s="96"/>
    </row>
    <row r="230" spans="1:12" x14ac:dyDescent="0.25">
      <c r="A230">
        <f t="shared" si="25"/>
        <v>224</v>
      </c>
      <c r="B230" s="96">
        <f t="shared" si="31"/>
        <v>118210.60108858162</v>
      </c>
      <c r="C230" s="96">
        <f t="shared" si="26"/>
        <v>6523.3635519702675</v>
      </c>
      <c r="D230" s="93">
        <f t="shared" si="27"/>
        <v>936.33303671142289</v>
      </c>
      <c r="E230" s="93">
        <f t="shared" si="24"/>
        <v>7459.6965886816906</v>
      </c>
      <c r="F230" s="93">
        <f>IF(A230="","",B230*Catálogos!$R$1)</f>
        <v>70.926360653148961</v>
      </c>
      <c r="G230" s="93">
        <f>IF(A230="","",IF(B230=0,0,$B$4*Catálogos!$Q$6))</f>
        <v>0</v>
      </c>
      <c r="H230" s="93">
        <f t="shared" si="28"/>
        <v>0</v>
      </c>
      <c r="I230" s="93">
        <f t="shared" si="29"/>
        <v>7530.6229493348392</v>
      </c>
      <c r="J230" s="96">
        <f t="shared" si="30"/>
        <v>7530.6229493348392</v>
      </c>
      <c r="K230" s="96"/>
      <c r="L230" s="96"/>
    </row>
    <row r="231" spans="1:12" x14ac:dyDescent="0.25">
      <c r="A231">
        <f t="shared" si="25"/>
        <v>225</v>
      </c>
      <c r="B231" s="96">
        <f t="shared" si="31"/>
        <v>111687.23753661136</v>
      </c>
      <c r="C231" s="96">
        <f t="shared" si="26"/>
        <v>6575.034389847252</v>
      </c>
      <c r="D231" s="93">
        <f t="shared" si="27"/>
        <v>884.66219883443887</v>
      </c>
      <c r="E231" s="93">
        <f t="shared" si="24"/>
        <v>7459.6965886816906</v>
      </c>
      <c r="F231" s="93">
        <f>IF(A231="","",B231*Catálogos!$R$1)</f>
        <v>67.012342521966801</v>
      </c>
      <c r="G231" s="93">
        <f>IF(A231="","",IF(B231=0,0,$B$4*Catálogos!$Q$6))</f>
        <v>0</v>
      </c>
      <c r="H231" s="93">
        <f t="shared" si="28"/>
        <v>0</v>
      </c>
      <c r="I231" s="93">
        <f t="shared" si="29"/>
        <v>7526.7089312036578</v>
      </c>
      <c r="J231" s="96">
        <f t="shared" si="30"/>
        <v>7526.7089312036578</v>
      </c>
      <c r="K231" s="96"/>
      <c r="L231" s="96"/>
    </row>
    <row r="232" spans="1:12" x14ac:dyDescent="0.25">
      <c r="A232">
        <f t="shared" si="25"/>
        <v>226</v>
      </c>
      <c r="B232" s="96">
        <f t="shared" si="31"/>
        <v>105112.20314676411</v>
      </c>
      <c r="C232" s="96">
        <f t="shared" si="26"/>
        <v>6627.1145066898553</v>
      </c>
      <c r="D232" s="93">
        <f t="shared" si="27"/>
        <v>832.58208199183548</v>
      </c>
      <c r="E232" s="93">
        <f t="shared" si="24"/>
        <v>7459.6965886816906</v>
      </c>
      <c r="F232" s="93">
        <f>IF(A232="","",B232*Catálogos!$R$1)</f>
        <v>63.067321888058459</v>
      </c>
      <c r="G232" s="93">
        <f>IF(A232="","",IF(B232=0,0,$B$4*Catálogos!$Q$6))</f>
        <v>0</v>
      </c>
      <c r="H232" s="93">
        <f t="shared" si="28"/>
        <v>0</v>
      </c>
      <c r="I232" s="93">
        <f t="shared" si="29"/>
        <v>7522.763910569749</v>
      </c>
      <c r="J232" s="96">
        <f t="shared" si="30"/>
        <v>7522.763910569749</v>
      </c>
      <c r="K232" s="96"/>
      <c r="L232" s="96"/>
    </row>
    <row r="233" spans="1:12" x14ac:dyDescent="0.25">
      <c r="A233">
        <f t="shared" si="25"/>
        <v>227</v>
      </c>
      <c r="B233" s="96">
        <f t="shared" si="31"/>
        <v>98485.088640074246</v>
      </c>
      <c r="C233" s="96">
        <f t="shared" si="26"/>
        <v>6679.6071443512892</v>
      </c>
      <c r="D233" s="93">
        <f t="shared" si="27"/>
        <v>780.08944433040142</v>
      </c>
      <c r="E233" s="93">
        <f t="shared" si="24"/>
        <v>7459.6965886816906</v>
      </c>
      <c r="F233" s="93">
        <f>IF(A233="","",B233*Catálogos!$R$1)</f>
        <v>59.09105318404454</v>
      </c>
      <c r="G233" s="93">
        <f>IF(A233="","",IF(B233=0,0,$B$4*Catálogos!$Q$6))</f>
        <v>0</v>
      </c>
      <c r="H233" s="93">
        <f t="shared" si="28"/>
        <v>0</v>
      </c>
      <c r="I233" s="93">
        <f t="shared" si="29"/>
        <v>7518.7876418657352</v>
      </c>
      <c r="J233" s="96">
        <f t="shared" si="30"/>
        <v>7518.7876418657352</v>
      </c>
      <c r="K233" s="96"/>
      <c r="L233" s="96"/>
    </row>
    <row r="234" spans="1:12" x14ac:dyDescent="0.25">
      <c r="A234">
        <f t="shared" si="25"/>
        <v>228</v>
      </c>
      <c r="B234" s="96">
        <f t="shared" si="31"/>
        <v>91805.481495722954</v>
      </c>
      <c r="C234" s="96">
        <f t="shared" si="26"/>
        <v>6732.5155703631244</v>
      </c>
      <c r="D234" s="93">
        <f t="shared" si="27"/>
        <v>727.18101831856643</v>
      </c>
      <c r="E234" s="93">
        <f t="shared" si="24"/>
        <v>7459.6965886816906</v>
      </c>
      <c r="F234" s="93">
        <f>IF(A234="","",B234*Catálogos!$R$1)</f>
        <v>55.083288897433768</v>
      </c>
      <c r="G234" s="93">
        <f>IF(A234="","",IF(B234=0,0,$B$4*Catálogos!$Q$6))</f>
        <v>0</v>
      </c>
      <c r="H234" s="93">
        <f t="shared" si="28"/>
        <v>0</v>
      </c>
      <c r="I234" s="93">
        <f t="shared" si="29"/>
        <v>7514.7798775791243</v>
      </c>
      <c r="J234" s="96">
        <f t="shared" si="30"/>
        <v>7514.7798775791243</v>
      </c>
      <c r="K234" s="96"/>
      <c r="L234" s="96"/>
    </row>
    <row r="235" spans="1:12" x14ac:dyDescent="0.25">
      <c r="A235">
        <f t="shared" si="25"/>
        <v>229</v>
      </c>
      <c r="B235" s="96">
        <f t="shared" si="31"/>
        <v>85072.965925359837</v>
      </c>
      <c r="C235" s="96">
        <f t="shared" si="26"/>
        <v>6785.8430781386851</v>
      </c>
      <c r="D235" s="93">
        <f t="shared" si="27"/>
        <v>673.85351054300577</v>
      </c>
      <c r="E235" s="93">
        <f t="shared" si="24"/>
        <v>7459.6965886816906</v>
      </c>
      <c r="F235" s="93">
        <f>IF(A235="","",B235*Catálogos!$R$1)</f>
        <v>51.043779555215899</v>
      </c>
      <c r="G235" s="93">
        <f>IF(A235="","",IF(B235=0,0,$B$4*Catálogos!$Q$6))</f>
        <v>0</v>
      </c>
      <c r="H235" s="93">
        <f t="shared" si="28"/>
        <v>0</v>
      </c>
      <c r="I235" s="93">
        <f t="shared" si="29"/>
        <v>7510.7403682369068</v>
      </c>
      <c r="J235" s="96">
        <f t="shared" si="30"/>
        <v>7510.7403682369068</v>
      </c>
      <c r="K235" s="96"/>
      <c r="L235" s="96"/>
    </row>
    <row r="236" spans="1:12" x14ac:dyDescent="0.25">
      <c r="A236">
        <f t="shared" si="25"/>
        <v>230</v>
      </c>
      <c r="B236" s="96">
        <f t="shared" si="31"/>
        <v>78287.122847221151</v>
      </c>
      <c r="C236" s="96">
        <f t="shared" si="26"/>
        <v>6839.5929871780572</v>
      </c>
      <c r="D236" s="93">
        <f t="shared" si="27"/>
        <v>620.10360150363351</v>
      </c>
      <c r="E236" s="93">
        <f t="shared" si="24"/>
        <v>7459.6965886816906</v>
      </c>
      <c r="F236" s="93">
        <f>IF(A236="","",B236*Catálogos!$R$1)</f>
        <v>46.972273708332686</v>
      </c>
      <c r="G236" s="93">
        <f>IF(A236="","",IF(B236=0,0,$B$4*Catálogos!$Q$6))</f>
        <v>0</v>
      </c>
      <c r="H236" s="93">
        <f t="shared" si="28"/>
        <v>0</v>
      </c>
      <c r="I236" s="93">
        <f t="shared" si="29"/>
        <v>7506.6688623900236</v>
      </c>
      <c r="J236" s="96">
        <f t="shared" si="30"/>
        <v>7506.6688623900236</v>
      </c>
      <c r="K236" s="96"/>
      <c r="L236" s="96"/>
    </row>
    <row r="237" spans="1:12" x14ac:dyDescent="0.25">
      <c r="A237">
        <f t="shared" si="25"/>
        <v>231</v>
      </c>
      <c r="B237" s="96">
        <f t="shared" si="31"/>
        <v>71447.529860043098</v>
      </c>
      <c r="C237" s="96">
        <f t="shared" si="26"/>
        <v>6893.7686432747178</v>
      </c>
      <c r="D237" s="93">
        <f t="shared" si="27"/>
        <v>565.92794540697253</v>
      </c>
      <c r="E237" s="93">
        <f t="shared" si="24"/>
        <v>7459.6965886816906</v>
      </c>
      <c r="F237" s="93">
        <f>IF(A237="","",B237*Catálogos!$R$1)</f>
        <v>42.868517916025858</v>
      </c>
      <c r="G237" s="93">
        <f>IF(A237="","",IF(B237=0,0,$B$4*Catálogos!$Q$6))</f>
        <v>0</v>
      </c>
      <c r="H237" s="93">
        <f t="shared" si="28"/>
        <v>0</v>
      </c>
      <c r="I237" s="93">
        <f t="shared" si="29"/>
        <v>7502.5651065977163</v>
      </c>
      <c r="J237" s="96">
        <f t="shared" si="30"/>
        <v>7502.5651065977163</v>
      </c>
      <c r="K237" s="96"/>
      <c r="L237" s="96"/>
    </row>
    <row r="238" spans="1:12" x14ac:dyDescent="0.25">
      <c r="A238">
        <f t="shared" si="25"/>
        <v>232</v>
      </c>
      <c r="B238" s="96">
        <f t="shared" si="31"/>
        <v>64553.761216768384</v>
      </c>
      <c r="C238" s="96">
        <f t="shared" si="26"/>
        <v>6948.3734187238033</v>
      </c>
      <c r="D238" s="93">
        <f t="shared" si="27"/>
        <v>511.32316995788716</v>
      </c>
      <c r="E238" s="93">
        <f t="shared" si="24"/>
        <v>7459.6965886816906</v>
      </c>
      <c r="F238" s="93">
        <f>IF(A238="","",B238*Catálogos!$R$1)</f>
        <v>38.732256730061025</v>
      </c>
      <c r="G238" s="93">
        <f>IF(A238="","",IF(B238=0,0,$B$4*Catálogos!$Q$6))</f>
        <v>0</v>
      </c>
      <c r="H238" s="93">
        <f t="shared" si="28"/>
        <v>0</v>
      </c>
      <c r="I238" s="93">
        <f t="shared" si="29"/>
        <v>7498.4288454117514</v>
      </c>
      <c r="J238" s="96">
        <f t="shared" si="30"/>
        <v>7498.4288454117514</v>
      </c>
      <c r="K238" s="96"/>
      <c r="L238" s="96"/>
    </row>
    <row r="239" spans="1:12" x14ac:dyDescent="0.25">
      <c r="A239">
        <f t="shared" si="25"/>
        <v>233</v>
      </c>
      <c r="B239" s="96">
        <f t="shared" si="31"/>
        <v>57605.387798044583</v>
      </c>
      <c r="C239" s="96">
        <f t="shared" si="26"/>
        <v>7003.4107125320234</v>
      </c>
      <c r="D239" s="93">
        <f t="shared" si="27"/>
        <v>456.28587614966693</v>
      </c>
      <c r="E239" s="93">
        <f t="shared" si="24"/>
        <v>7459.6965886816906</v>
      </c>
      <c r="F239" s="93">
        <f>IF(A239="","",B239*Catálogos!$R$1)</f>
        <v>34.563232678826743</v>
      </c>
      <c r="G239" s="93">
        <f>IF(A239="","",IF(B239=0,0,$B$4*Catálogos!$Q$6))</f>
        <v>0</v>
      </c>
      <c r="H239" s="93">
        <f t="shared" si="28"/>
        <v>0</v>
      </c>
      <c r="I239" s="93">
        <f t="shared" si="29"/>
        <v>7494.259821360517</v>
      </c>
      <c r="J239" s="96">
        <f t="shared" si="30"/>
        <v>7494.259821360517</v>
      </c>
      <c r="K239" s="96"/>
      <c r="L239" s="96"/>
    </row>
    <row r="240" spans="1:12" x14ac:dyDescent="0.25">
      <c r="A240">
        <f t="shared" si="25"/>
        <v>234</v>
      </c>
      <c r="B240" s="96">
        <f t="shared" si="31"/>
        <v>50601.977085512561</v>
      </c>
      <c r="C240" s="96">
        <f t="shared" si="26"/>
        <v>7058.8839506292443</v>
      </c>
      <c r="D240" s="93">
        <f t="shared" si="27"/>
        <v>400.81263805244657</v>
      </c>
      <c r="E240" s="93">
        <f t="shared" si="24"/>
        <v>7459.6965886816906</v>
      </c>
      <c r="F240" s="93">
        <f>IF(A240="","",B240*Catálogos!$R$1)</f>
        <v>30.361186251307533</v>
      </c>
      <c r="G240" s="93">
        <f>IF(A240="","",IF(B240=0,0,$B$4*Catálogos!$Q$6))</f>
        <v>0</v>
      </c>
      <c r="H240" s="93">
        <f t="shared" si="28"/>
        <v>0</v>
      </c>
      <c r="I240" s="93">
        <f t="shared" si="29"/>
        <v>7490.0577749329977</v>
      </c>
      <c r="J240" s="96">
        <f t="shared" si="30"/>
        <v>7490.0577749329977</v>
      </c>
      <c r="K240" s="96"/>
      <c r="L240" s="96"/>
    </row>
    <row r="241" spans="1:12" x14ac:dyDescent="0.25">
      <c r="A241">
        <f t="shared" si="25"/>
        <v>235</v>
      </c>
      <c r="B241" s="96">
        <f t="shared" si="31"/>
        <v>43543.093134883318</v>
      </c>
      <c r="C241" s="96">
        <f t="shared" si="26"/>
        <v>7114.7965860817394</v>
      </c>
      <c r="D241" s="93">
        <f t="shared" si="27"/>
        <v>344.90000259995134</v>
      </c>
      <c r="E241" s="93">
        <f t="shared" si="24"/>
        <v>7459.6965886816906</v>
      </c>
      <c r="F241" s="93">
        <f>IF(A241="","",B241*Catálogos!$R$1)</f>
        <v>26.12585588092999</v>
      </c>
      <c r="G241" s="93">
        <f>IF(A241="","",IF(B241=0,0,$B$4*Catálogos!$Q$6))</f>
        <v>0</v>
      </c>
      <c r="H241" s="93">
        <f t="shared" si="28"/>
        <v>0</v>
      </c>
      <c r="I241" s="93">
        <f t="shared" si="29"/>
        <v>7485.8224445626211</v>
      </c>
      <c r="J241" s="96">
        <f t="shared" si="30"/>
        <v>7485.8224445626211</v>
      </c>
      <c r="K241" s="96"/>
      <c r="L241" s="96"/>
    </row>
    <row r="242" spans="1:12" x14ac:dyDescent="0.25">
      <c r="A242">
        <f t="shared" si="25"/>
        <v>236</v>
      </c>
      <c r="B242" s="96">
        <f t="shared" si="31"/>
        <v>36428.296548801576</v>
      </c>
      <c r="C242" s="96">
        <f t="shared" si="26"/>
        <v>7171.152099307139</v>
      </c>
      <c r="D242" s="93">
        <f t="shared" si="27"/>
        <v>288.54448937455186</v>
      </c>
      <c r="E242" s="93">
        <f t="shared" si="24"/>
        <v>7459.6965886816906</v>
      </c>
      <c r="F242" s="93">
        <f>IF(A242="","",B242*Catálogos!$R$1)</f>
        <v>21.856977929280944</v>
      </c>
      <c r="G242" s="93">
        <f>IF(A242="","",IF(B242=0,0,$B$4*Catálogos!$Q$6))</f>
        <v>0</v>
      </c>
      <c r="H242" s="93">
        <f t="shared" si="28"/>
        <v>0</v>
      </c>
      <c r="I242" s="93">
        <f t="shared" si="29"/>
        <v>7481.5535666109718</v>
      </c>
      <c r="J242" s="96">
        <f t="shared" si="30"/>
        <v>7481.5535666109718</v>
      </c>
      <c r="K242" s="96"/>
      <c r="L242" s="96"/>
    </row>
    <row r="243" spans="1:12" x14ac:dyDescent="0.25">
      <c r="A243">
        <f t="shared" si="25"/>
        <v>237</v>
      </c>
      <c r="B243" s="96">
        <f t="shared" si="31"/>
        <v>29257.144449494437</v>
      </c>
      <c r="C243" s="96">
        <f t="shared" si="26"/>
        <v>7227.9539982910728</v>
      </c>
      <c r="D243" s="93">
        <f t="shared" si="27"/>
        <v>231.74259039061772</v>
      </c>
      <c r="E243" s="93">
        <f t="shared" si="24"/>
        <v>7459.6965886816906</v>
      </c>
      <c r="F243" s="93">
        <f>IF(A243="","",B243*Catálogos!$R$1)</f>
        <v>17.554286669696662</v>
      </c>
      <c r="G243" s="93">
        <f>IF(A243="","",IF(B243=0,0,$B$4*Catálogos!$Q$6))</f>
        <v>0</v>
      </c>
      <c r="H243" s="93">
        <f t="shared" si="28"/>
        <v>0</v>
      </c>
      <c r="I243" s="93">
        <f t="shared" si="29"/>
        <v>7477.2508753513875</v>
      </c>
      <c r="J243" s="96">
        <f t="shared" si="30"/>
        <v>7477.2508753513875</v>
      </c>
      <c r="K243" s="96"/>
      <c r="L243" s="96"/>
    </row>
    <row r="244" spans="1:12" x14ac:dyDescent="0.25">
      <c r="A244">
        <f t="shared" si="25"/>
        <v>238</v>
      </c>
      <c r="B244" s="96">
        <f t="shared" si="31"/>
        <v>22029.190451203365</v>
      </c>
      <c r="C244" s="96">
        <f t="shared" si="26"/>
        <v>7285.2058188055371</v>
      </c>
      <c r="D244" s="93">
        <f t="shared" si="27"/>
        <v>174.49076987615393</v>
      </c>
      <c r="E244" s="93">
        <f t="shared" si="24"/>
        <v>7459.6965886816906</v>
      </c>
      <c r="F244" s="93">
        <f>IF(A244="","",B244*Catálogos!$R$1)</f>
        <v>13.217514270722019</v>
      </c>
      <c r="G244" s="93">
        <f>IF(A244="","",IF(B244=0,0,$B$4*Catálogos!$Q$6))</f>
        <v>0</v>
      </c>
      <c r="H244" s="93">
        <f t="shared" si="28"/>
        <v>0</v>
      </c>
      <c r="I244" s="93">
        <f t="shared" si="29"/>
        <v>7472.9141029524126</v>
      </c>
      <c r="J244" s="96">
        <f t="shared" si="30"/>
        <v>7472.9141029524126</v>
      </c>
      <c r="K244" s="96"/>
      <c r="L244" s="96"/>
    </row>
    <row r="245" spans="1:12" x14ac:dyDescent="0.25">
      <c r="A245">
        <f t="shared" si="25"/>
        <v>239</v>
      </c>
      <c r="B245" s="96">
        <f t="shared" si="31"/>
        <v>14743.984632397827</v>
      </c>
      <c r="C245" s="96">
        <f t="shared" si="26"/>
        <v>7342.9111246289822</v>
      </c>
      <c r="D245" s="93">
        <f t="shared" si="27"/>
        <v>116.78546405270848</v>
      </c>
      <c r="E245" s="93">
        <f t="shared" si="24"/>
        <v>7459.6965886816906</v>
      </c>
      <c r="F245" s="93">
        <f>IF(A245="","",B245*Catálogos!$R$1)</f>
        <v>8.8463907794386962</v>
      </c>
      <c r="G245" s="93">
        <f>IF(A245="","",IF(B245=0,0,$B$4*Catálogos!$Q$6))</f>
        <v>0</v>
      </c>
      <c r="H245" s="93">
        <f t="shared" si="28"/>
        <v>0</v>
      </c>
      <c r="I245" s="93">
        <f t="shared" si="29"/>
        <v>7468.5429794611291</v>
      </c>
      <c r="J245" s="96">
        <f t="shared" si="30"/>
        <v>7468.5429794611291</v>
      </c>
      <c r="K245" s="96"/>
      <c r="L245" s="96"/>
    </row>
    <row r="246" spans="1:12" x14ac:dyDescent="0.25">
      <c r="A246">
        <f t="shared" si="25"/>
        <v>240</v>
      </c>
      <c r="B246" s="96">
        <f t="shared" si="31"/>
        <v>7401.073507768845</v>
      </c>
      <c r="C246" s="96">
        <f t="shared" si="26"/>
        <v>7401.0735077681547</v>
      </c>
      <c r="D246" s="93">
        <f t="shared" si="27"/>
        <v>58.623080913536157</v>
      </c>
      <c r="E246" s="93">
        <f t="shared" si="24"/>
        <v>7459.6965886816906</v>
      </c>
      <c r="F246" s="93">
        <f>IF(A246="","",B246*Catálogos!$R$1)</f>
        <v>4.440644104661307</v>
      </c>
      <c r="G246" s="93">
        <f>IF(A246="","",IF(B246=0,0,$B$4*Catálogos!$Q$6))</f>
        <v>0</v>
      </c>
      <c r="H246" s="93">
        <f t="shared" si="28"/>
        <v>0</v>
      </c>
      <c r="I246" s="93">
        <f t="shared" si="29"/>
        <v>7464.1372327863519</v>
      </c>
      <c r="J246" s="96">
        <f t="shared" si="30"/>
        <v>7464.1372327863519</v>
      </c>
      <c r="K246" s="96"/>
      <c r="L246" s="96"/>
    </row>
  </sheetData>
  <mergeCells count="1">
    <mergeCell ref="N1:O1"/>
  </mergeCells>
  <pageMargins left="0.7" right="0.7" top="0.75" bottom="0.75" header="0.3" footer="0.3"/>
</worksheet>
</file>

<file path=docMetadata/LabelInfo.xml><?xml version="1.0" encoding="utf-8"?>
<clbl:labelList xmlns:clbl="http://schemas.microsoft.com/office/2020/mipLabelMetadata">
  <clbl:label id="{f553da26-04fc-4848-a738-5684ab93d77b}" enabled="1" method="Standard" siteId="{5d638bf1-7afd-4f6e-a308-2245d53ac2d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29</vt:i4>
      </vt:variant>
    </vt:vector>
  </HeadingPairs>
  <TitlesOfParts>
    <vt:vector size="38" baseType="lpstr">
      <vt:lpstr>Carátula</vt:lpstr>
      <vt:lpstr>Tabla Notaría</vt:lpstr>
      <vt:lpstr>Oferta Vinculante</vt:lpstr>
      <vt:lpstr>Fecha Pago</vt:lpstr>
      <vt:lpstr>Notariales Estados</vt:lpstr>
      <vt:lpstr>Catálogos</vt:lpstr>
      <vt:lpstr>Avalúos</vt:lpstr>
      <vt:lpstr>Prepagos</vt:lpstr>
      <vt:lpstr>CAT</vt:lpstr>
      <vt:lpstr>'Oferta Vinculante'!_Inciso_Apoyo</vt:lpstr>
      <vt:lpstr>'Oferta Vinculante'!_Inciso_Cofinavit</vt:lpstr>
      <vt:lpstr>'Oferta Vinculante'!_Inciso_Gravamen_Separado</vt:lpstr>
      <vt:lpstr>'Oferta Vinculante'!_Inciso_Vigilancia</vt:lpstr>
      <vt:lpstr>'Oferta Vinculante'!Aforo</vt:lpstr>
      <vt:lpstr>'Fecha Pago'!Anterior</vt:lpstr>
      <vt:lpstr>Carátula!Área_de_impresión</vt:lpstr>
      <vt:lpstr>'Oferta Vinculante'!Área_de_impresión</vt:lpstr>
      <vt:lpstr>'Tabla Notaría'!Área_de_impresión</vt:lpstr>
      <vt:lpstr>'Oferta Vinculante'!Cálculo_Interés_CAT</vt:lpstr>
      <vt:lpstr>'Oferta Vinculante'!Contenido_Notarial</vt:lpstr>
      <vt:lpstr>'Oferta Vinculante'!i.Aclaración_Tasa</vt:lpstr>
      <vt:lpstr>'Oferta Vinculante'!i.CAT</vt:lpstr>
      <vt:lpstr>'Oferta Vinculante'!i.Com_Inv_Etiqueta</vt:lpstr>
      <vt:lpstr>'Oferta Vinculante'!i.Comisión_Autorización</vt:lpstr>
      <vt:lpstr>'Oferta Vinculante'!i.Comisión_Investigación</vt:lpstr>
      <vt:lpstr>'Oferta Vinculante'!i.Comisión_Supervisión_Obra</vt:lpstr>
      <vt:lpstr>'Oferta Vinculante'!i.Destino</vt:lpstr>
      <vt:lpstr>'Oferta Vinculante'!i.Etiqueta_Tasas_Interés</vt:lpstr>
      <vt:lpstr>'Oferta Vinculante'!i.Fecha_Cotización</vt:lpstr>
      <vt:lpstr>'Oferta Vinculante'!i.Importe_Solicitado</vt:lpstr>
      <vt:lpstr>'Oferta Vinculante'!i.Nomenclatura_Notarial</vt:lpstr>
      <vt:lpstr>'Oferta Vinculante'!i.Plazo_en_Años</vt:lpstr>
      <vt:lpstr>'Oferta Vinculante'!i.Tasa_Ordinaria</vt:lpstr>
      <vt:lpstr>'Oferta Vinculante'!i.Valor_Garantía</vt:lpstr>
      <vt:lpstr>'Oferta Vinculante'!Nombre_Cliente</vt:lpstr>
      <vt:lpstr>'Oferta Vinculante'!Tasa_Moratoria</vt:lpstr>
      <vt:lpstr>Carátula!Títulos_a_imprimir</vt:lpstr>
      <vt:lpstr>'Tabla Notaría'!Títulos_a_imprimir</vt:lpstr>
    </vt:vector>
  </TitlesOfParts>
  <Company>Banco Mercantil del Norte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ARTURO GUADARRAMA GUADARRAMA</dc:creator>
  <cp:lastModifiedBy>BELEM BERENICE FRANCISCO</cp:lastModifiedBy>
  <cp:lastPrinted>2024-12-18T15:55:23Z</cp:lastPrinted>
  <dcterms:created xsi:type="dcterms:W3CDTF">2024-07-25T22:00:27Z</dcterms:created>
  <dcterms:modified xsi:type="dcterms:W3CDTF">2025-02-17T23:27:51Z</dcterms:modified>
</cp:coreProperties>
</file>